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5" windowWidth="14805" windowHeight="8010" firstSheet="1" activeTab="1"/>
  </bookViews>
  <sheets>
    <sheet name="Sheet3" sheetId="3" state="hidden" r:id="rId1"/>
    <sheet name="Sheet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alcChain.xml><?xml version="1.0" encoding="utf-8"?>
<calcChain xmlns="http://schemas.openxmlformats.org/spreadsheetml/2006/main">
  <c r="K18" i="4" l="1"/>
  <c r="K17" i="4"/>
  <c r="K16" i="4" l="1"/>
  <c r="K15" i="4"/>
  <c r="K13" i="4"/>
  <c r="K12" i="4"/>
  <c r="K6" i="4" l="1"/>
  <c r="K5" i="4"/>
  <c r="K11" i="4"/>
  <c r="K10" i="4"/>
  <c r="K8" i="4"/>
  <c r="K7" i="4" l="1"/>
  <c r="J6" i="4" l="1"/>
  <c r="J18" i="4"/>
  <c r="J17" i="4"/>
  <c r="J16" i="4"/>
  <c r="J12" i="4"/>
  <c r="J11" i="4"/>
  <c r="J8" i="4"/>
  <c r="J10" i="4" s="1"/>
  <c r="J7" i="4"/>
  <c r="J5" i="4"/>
  <c r="B29" i="3" l="1"/>
  <c r="C29" i="3"/>
  <c r="F29" i="3"/>
  <c r="E29" i="3"/>
  <c r="I29" i="3"/>
  <c r="H29" i="3"/>
  <c r="G29" i="3"/>
  <c r="J29" i="3"/>
  <c r="K29" i="3"/>
  <c r="K9" i="3"/>
  <c r="I9" i="3" l="1"/>
  <c r="J9" i="3"/>
  <c r="H9" i="3"/>
  <c r="G9" i="3"/>
  <c r="F9" i="3"/>
  <c r="E9" i="3"/>
  <c r="D9" i="3"/>
  <c r="C9" i="3"/>
  <c r="B9" i="3"/>
  <c r="K39" i="3"/>
  <c r="J39" i="3"/>
  <c r="I39" i="3"/>
  <c r="H39" i="3"/>
  <c r="G39" i="3"/>
  <c r="F39" i="3"/>
  <c r="E39" i="3"/>
  <c r="D39" i="3"/>
  <c r="C39" i="3"/>
  <c r="K34" i="3" l="1"/>
  <c r="K33" i="3"/>
  <c r="K28" i="3"/>
  <c r="K19" i="3"/>
  <c r="K18" i="3"/>
  <c r="K10" i="3"/>
  <c r="K7" i="3"/>
  <c r="K6" i="3"/>
  <c r="K5" i="3"/>
  <c r="K38" i="3" s="1"/>
  <c r="K4" i="3"/>
  <c r="K3" i="3"/>
  <c r="K24" i="3"/>
  <c r="K23" i="3"/>
  <c r="J34" i="3"/>
  <c r="J33" i="3"/>
  <c r="J28" i="3"/>
  <c r="J19" i="3"/>
  <c r="J18" i="3"/>
  <c r="J10" i="3"/>
  <c r="J7" i="3"/>
  <c r="J6" i="3"/>
  <c r="J5" i="3"/>
  <c r="J38" i="3" s="1"/>
  <c r="J4" i="3"/>
  <c r="J3" i="3"/>
  <c r="J24" i="3"/>
  <c r="J23" i="3"/>
  <c r="I34" i="3"/>
  <c r="I33" i="3"/>
  <c r="I28" i="3"/>
  <c r="I19" i="3"/>
  <c r="I18" i="3"/>
  <c r="I10" i="3"/>
  <c r="I7" i="3"/>
  <c r="I6" i="3"/>
  <c r="I5" i="3"/>
  <c r="I38" i="3" s="1"/>
  <c r="I4" i="3"/>
  <c r="I3" i="3"/>
  <c r="I24" i="3"/>
  <c r="I23" i="3"/>
  <c r="H10" i="3"/>
  <c r="H7" i="3"/>
  <c r="H6" i="3"/>
  <c r="H5" i="3"/>
  <c r="H38" i="3" s="1"/>
  <c r="H4" i="3"/>
  <c r="H3" i="3"/>
  <c r="H18" i="3"/>
  <c r="H19" i="3"/>
  <c r="H28" i="3"/>
  <c r="H33" i="3"/>
  <c r="H34" i="3"/>
  <c r="H23" i="3"/>
  <c r="H24" i="3"/>
  <c r="G33" i="3"/>
  <c r="G34" i="3"/>
  <c r="G28" i="3"/>
  <c r="G24" i="3"/>
  <c r="G23" i="3"/>
  <c r="G10" i="3"/>
  <c r="G19" i="3"/>
  <c r="G18" i="3"/>
  <c r="G7" i="3"/>
  <c r="G6" i="3"/>
  <c r="G5" i="3"/>
  <c r="G38" i="3" s="1"/>
  <c r="G4" i="3"/>
  <c r="G3" i="3"/>
  <c r="F34" i="3"/>
  <c r="F33" i="3"/>
  <c r="F28" i="3"/>
  <c r="F24" i="3"/>
  <c r="F23" i="3"/>
  <c r="F10" i="3"/>
  <c r="E10" i="3"/>
  <c r="F19" i="3"/>
  <c r="F18" i="3"/>
  <c r="F7" i="3"/>
  <c r="F6" i="3"/>
  <c r="F5" i="3"/>
  <c r="F38" i="3" s="1"/>
  <c r="F4" i="3"/>
  <c r="F3" i="3"/>
  <c r="E33" i="3"/>
  <c r="E34" i="3"/>
  <c r="E28" i="3"/>
  <c r="E24" i="3"/>
  <c r="E23" i="3"/>
  <c r="E19" i="3"/>
  <c r="E18" i="3"/>
  <c r="E7" i="3"/>
  <c r="E6" i="3"/>
  <c r="E5" i="3"/>
  <c r="E38" i="3" s="1"/>
  <c r="E4" i="3"/>
  <c r="E3" i="3"/>
  <c r="K20" i="3" l="1"/>
  <c r="K35" i="3"/>
  <c r="J35" i="3"/>
  <c r="I35" i="3"/>
  <c r="H35" i="3"/>
  <c r="G35" i="3"/>
  <c r="G40" i="3"/>
  <c r="F35" i="3"/>
  <c r="E35" i="3"/>
  <c r="D33" i="3"/>
  <c r="D34" i="3"/>
  <c r="D28" i="3"/>
  <c r="D23" i="3"/>
  <c r="D24" i="3"/>
  <c r="C23" i="3"/>
  <c r="D10" i="3"/>
  <c r="D7" i="3"/>
  <c r="D6" i="3"/>
  <c r="D5" i="3"/>
  <c r="D38" i="3" s="1"/>
  <c r="D4" i="3"/>
  <c r="D19" i="3"/>
  <c r="D18" i="3"/>
  <c r="K40" i="3"/>
  <c r="J40" i="3"/>
  <c r="I40" i="3"/>
  <c r="H40" i="3"/>
  <c r="F40" i="3"/>
  <c r="E40" i="3"/>
  <c r="K30" i="3"/>
  <c r="J30" i="3"/>
  <c r="I30" i="3"/>
  <c r="H30" i="3"/>
  <c r="G30" i="3"/>
  <c r="F30" i="3"/>
  <c r="E30" i="3"/>
  <c r="K25" i="3"/>
  <c r="J25" i="3"/>
  <c r="I25" i="3"/>
  <c r="I12" i="3" s="1"/>
  <c r="H25" i="3"/>
  <c r="G25" i="3"/>
  <c r="F25" i="3"/>
  <c r="E25" i="3"/>
  <c r="J20" i="3"/>
  <c r="J8" i="3" s="1"/>
  <c r="I20" i="3"/>
  <c r="I8" i="3" s="1"/>
  <c r="H20" i="3"/>
  <c r="G20" i="3"/>
  <c r="F20" i="3"/>
  <c r="E20" i="3"/>
  <c r="D3" i="3"/>
  <c r="D40" i="3" l="1"/>
  <c r="D35" i="3"/>
  <c r="D25" i="3"/>
  <c r="D20" i="3"/>
  <c r="C34" i="3"/>
  <c r="C33" i="3"/>
  <c r="C35" i="3" l="1"/>
  <c r="C14" i="3" s="1"/>
  <c r="C28" i="3"/>
  <c r="C30" i="3" s="1"/>
  <c r="C13" i="3" s="1"/>
  <c r="C24" i="3"/>
  <c r="C25" i="3" s="1"/>
  <c r="C12" i="3" s="1"/>
  <c r="C10" i="3"/>
  <c r="K15" i="3"/>
  <c r="J15" i="3"/>
  <c r="I15" i="3"/>
  <c r="H15" i="3"/>
  <c r="G15" i="3"/>
  <c r="F15" i="3"/>
  <c r="E15" i="3"/>
  <c r="D15" i="3"/>
  <c r="K14" i="3"/>
  <c r="J14" i="3"/>
  <c r="I14" i="3"/>
  <c r="H14" i="3"/>
  <c r="G14" i="3"/>
  <c r="F14" i="3"/>
  <c r="E14" i="3"/>
  <c r="D14" i="3"/>
  <c r="K13" i="3"/>
  <c r="J13" i="3"/>
  <c r="I13" i="3"/>
  <c r="H13" i="3"/>
  <c r="G13" i="3"/>
  <c r="F13" i="3"/>
  <c r="E13" i="3"/>
  <c r="K12" i="3"/>
  <c r="J12" i="3"/>
  <c r="H12" i="3"/>
  <c r="G12" i="3"/>
  <c r="F12" i="3"/>
  <c r="E12" i="3"/>
  <c r="D12" i="3"/>
  <c r="K8" i="3"/>
  <c r="H8" i="3"/>
  <c r="G8" i="3"/>
  <c r="F8" i="3"/>
  <c r="E8" i="3"/>
  <c r="D8" i="3"/>
  <c r="C19" i="3"/>
  <c r="C18" i="3"/>
  <c r="C7" i="3"/>
  <c r="C6" i="3"/>
  <c r="C5" i="3"/>
  <c r="C38" i="3" s="1"/>
  <c r="C40" i="3" s="1"/>
  <c r="C15" i="3" s="1"/>
  <c r="C4" i="3"/>
  <c r="C3" i="3"/>
  <c r="B10" i="3"/>
  <c r="B7" i="3"/>
  <c r="B6" i="3"/>
  <c r="B5" i="3"/>
  <c r="B39" i="3"/>
  <c r="C20" i="3" l="1"/>
  <c r="C8" i="3" s="1"/>
  <c r="B38" i="3"/>
  <c r="B40" i="3" s="1"/>
  <c r="B15" i="3" s="1"/>
  <c r="B34" i="3"/>
  <c r="B33" i="3"/>
  <c r="B28" i="3"/>
  <c r="B19" i="3"/>
  <c r="B18" i="3"/>
  <c r="B23" i="3"/>
  <c r="B24" i="3"/>
  <c r="B3" i="3"/>
  <c r="B4" i="3"/>
  <c r="B35" i="3" l="1"/>
  <c r="B14" i="3" s="1"/>
  <c r="B30" i="3"/>
  <c r="B13" i="3" s="1"/>
  <c r="B20" i="3"/>
  <c r="B8" i="3" s="1"/>
  <c r="B25" i="3"/>
  <c r="B12" i="3" s="1"/>
  <c r="D29" i="3" l="1"/>
  <c r="D30" i="3" s="1"/>
  <c r="D13" i="3" s="1"/>
</calcChain>
</file>

<file path=xl/comments1.xml><?xml version="1.0" encoding="utf-8"?>
<comments xmlns="http://schemas.openxmlformats.org/spreadsheetml/2006/main">
  <authors>
    <author>Author</author>
  </authors>
  <commentList>
    <comment ref="D1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Share application money considered</t>
        </r>
      </text>
    </comment>
  </commentList>
</comments>
</file>

<file path=xl/sharedStrings.xml><?xml version="1.0" encoding="utf-8"?>
<sst xmlns="http://schemas.openxmlformats.org/spreadsheetml/2006/main" count="75" uniqueCount="46">
  <si>
    <t>Rs. Crores</t>
  </si>
  <si>
    <t>Financial Highlights</t>
  </si>
  <si>
    <t>'02-03</t>
  </si>
  <si>
    <t>'03-04</t>
  </si>
  <si>
    <t>'04-05</t>
  </si>
  <si>
    <t>'05-06</t>
  </si>
  <si>
    <t>'06-07</t>
  </si>
  <si>
    <t>'07-08</t>
  </si>
  <si>
    <t>Turnover</t>
  </si>
  <si>
    <t>Total Income</t>
  </si>
  <si>
    <t>PBIT</t>
  </si>
  <si>
    <t>PBT</t>
  </si>
  <si>
    <t>PBT including Exceptional Income</t>
  </si>
  <si>
    <t>Net Worth</t>
  </si>
  <si>
    <t>Gross Fixed Assets</t>
  </si>
  <si>
    <t>Total Assets</t>
  </si>
  <si>
    <t>Key indicators</t>
  </si>
  <si>
    <t>Earnings Per Share - Rs.</t>
  </si>
  <si>
    <t>Gross Margin Ratio</t>
  </si>
  <si>
    <t>Debt-Equity Ratio</t>
  </si>
  <si>
    <t>Return on Capital Employed</t>
  </si>
  <si>
    <t>08-09</t>
  </si>
  <si>
    <t>09-10</t>
  </si>
  <si>
    <t>10-11</t>
  </si>
  <si>
    <t>11-12</t>
  </si>
  <si>
    <t>Capital Employeed</t>
  </si>
  <si>
    <t>Debt</t>
  </si>
  <si>
    <t>Equity</t>
  </si>
  <si>
    <t>PAT</t>
  </si>
  <si>
    <t>No of shares</t>
  </si>
  <si>
    <t>Reserves &amp; Surplus</t>
  </si>
  <si>
    <t>Revenue</t>
  </si>
  <si>
    <t>Direct Cost</t>
  </si>
  <si>
    <t>Misc Exp N Minority don’t consider</t>
  </si>
  <si>
    <t>PBT+Interest</t>
  </si>
  <si>
    <t>other income not considered</t>
  </si>
  <si>
    <t>Taken from annual report</t>
  </si>
  <si>
    <t>Taken from Investors update and old MIS data</t>
  </si>
  <si>
    <t>07-08</t>
  </si>
  <si>
    <t>06-07</t>
  </si>
  <si>
    <t>05-06</t>
  </si>
  <si>
    <t>04-05</t>
  </si>
  <si>
    <t>PARTICULARS</t>
  </si>
  <si>
    <t>FINANCIAL INFORMATION OF THE COMPANY FOR LAST 10 FINANCIAL YEARS</t>
  </si>
  <si>
    <t>12-13</t>
  </si>
  <si>
    <t>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</si>
</sst>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9"/>
      <color rgb="FF00663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D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2" borderId="1" xfId="0" quotePrefix="1" applyFont="1" applyFill="1" applyBorder="1" applyAlignment="1">
      <alignment horizontal="center" wrapText="1"/>
    </xf>
    <xf numFmtId="2" fontId="3" fillId="0" borderId="0" xfId="0" applyNumberFormat="1" applyFont="1"/>
    <xf numFmtId="2" fontId="0" fillId="3" borderId="1" xfId="0" applyNumberFormat="1" applyFill="1" applyBorder="1" applyAlignment="1">
      <alignment horizontal="right" wrapText="1"/>
    </xf>
    <xf numFmtId="2" fontId="0" fillId="0" borderId="0" xfId="0" applyNumberFormat="1"/>
    <xf numFmtId="9" fontId="0" fillId="0" borderId="0" xfId="2" applyFont="1"/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right" wrapText="1"/>
    </xf>
    <xf numFmtId="2" fontId="5" fillId="0" borderId="0" xfId="0" applyNumberFormat="1" applyFont="1"/>
    <xf numFmtId="10" fontId="5" fillId="0" borderId="0" xfId="2" applyNumberFormat="1" applyFont="1"/>
    <xf numFmtId="10" fontId="0" fillId="3" borderId="1" xfId="2" applyNumberFormat="1" applyFont="1" applyFill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2" fontId="1" fillId="3" borderId="1" xfId="0" applyNumberFormat="1" applyFont="1" applyFill="1" applyBorder="1" applyAlignment="1">
      <alignment horizontal="right" wrapText="1"/>
    </xf>
    <xf numFmtId="43" fontId="5" fillId="0" borderId="0" xfId="1" applyFont="1"/>
    <xf numFmtId="1" fontId="0" fillId="0" borderId="0" xfId="0" applyNumberFormat="1"/>
    <xf numFmtId="0" fontId="4" fillId="0" borderId="0" xfId="0" applyFont="1"/>
    <xf numFmtId="43" fontId="0" fillId="3" borderId="1" xfId="1" applyFont="1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2" fontId="8" fillId="3" borderId="1" xfId="0" applyNumberFormat="1" applyFont="1" applyFill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10" fontId="8" fillId="3" borderId="1" xfId="2" applyNumberFormat="1" applyFont="1" applyFill="1" applyBorder="1" applyAlignment="1">
      <alignment horizontal="right" wrapText="1"/>
    </xf>
    <xf numFmtId="0" fontId="8" fillId="4" borderId="0" xfId="0" applyFont="1" applyFill="1"/>
    <xf numFmtId="0" fontId="8" fillId="4" borderId="1" xfId="0" applyFont="1" applyFill="1" applyBorder="1"/>
    <xf numFmtId="43" fontId="8" fillId="4" borderId="1" xfId="1" applyNumberFormat="1" applyFont="1" applyFill="1" applyBorder="1"/>
    <xf numFmtId="43" fontId="8" fillId="4" borderId="1" xfId="1" applyFont="1" applyFill="1" applyBorder="1"/>
    <xf numFmtId="10" fontId="8" fillId="4" borderId="1" xfId="2" applyNumberFormat="1" applyFont="1" applyFill="1" applyBorder="1"/>
    <xf numFmtId="10" fontId="8" fillId="4" borderId="6" xfId="2" applyNumberFormat="1" applyFont="1" applyFill="1" applyBorder="1"/>
    <xf numFmtId="43" fontId="8" fillId="4" borderId="8" xfId="1" applyNumberFormat="1" applyFont="1" applyFill="1" applyBorder="1"/>
    <xf numFmtId="0" fontId="8" fillId="4" borderId="8" xfId="0" applyFont="1" applyFill="1" applyBorder="1"/>
    <xf numFmtId="43" fontId="8" fillId="4" borderId="8" xfId="1" applyFont="1" applyFill="1" applyBorder="1"/>
    <xf numFmtId="10" fontId="8" fillId="4" borderId="8" xfId="2" applyNumberFormat="1" applyFont="1" applyFill="1" applyBorder="1"/>
    <xf numFmtId="10" fontId="8" fillId="4" borderId="9" xfId="2" applyNumberFormat="1" applyFont="1" applyFill="1" applyBorder="1"/>
    <xf numFmtId="0" fontId="8" fillId="4" borderId="11" xfId="0" applyFont="1" applyFill="1" applyBorder="1"/>
    <xf numFmtId="0" fontId="8" fillId="4" borderId="12" xfId="0" applyFont="1" applyFill="1" applyBorder="1"/>
    <xf numFmtId="0" fontId="8" fillId="4" borderId="12" xfId="0" applyFont="1" applyFill="1" applyBorder="1" applyAlignment="1">
      <alignment wrapText="1"/>
    </xf>
    <xf numFmtId="0" fontId="8" fillId="4" borderId="13" xfId="0" applyFont="1" applyFill="1" applyBorder="1"/>
    <xf numFmtId="43" fontId="8" fillId="4" borderId="2" xfId="1" applyNumberFormat="1" applyFont="1" applyFill="1" applyBorder="1"/>
    <xf numFmtId="43" fontId="8" fillId="4" borderId="7" xfId="1" applyNumberFormat="1" applyFont="1" applyFill="1" applyBorder="1"/>
    <xf numFmtId="0" fontId="9" fillId="4" borderId="3" xfId="0" quotePrefix="1" applyFont="1" applyFill="1" applyBorder="1" applyAlignment="1">
      <alignment horizontal="center" wrapText="1"/>
    </xf>
    <xf numFmtId="0" fontId="9" fillId="4" borderId="14" xfId="0" quotePrefix="1" applyFont="1" applyFill="1" applyBorder="1" applyAlignment="1">
      <alignment horizontal="center" wrapText="1"/>
    </xf>
    <xf numFmtId="43" fontId="8" fillId="4" borderId="0" xfId="0" applyNumberFormat="1" applyFont="1" applyFill="1"/>
    <xf numFmtId="17" fontId="9" fillId="4" borderId="14" xfId="0" quotePrefix="1" applyNumberFormat="1" applyFont="1" applyFill="1" applyBorder="1" applyAlignment="1">
      <alignment horizontal="center" wrapText="1"/>
    </xf>
    <xf numFmtId="43" fontId="8" fillId="4" borderId="7" xfId="1" applyFont="1" applyFill="1" applyBorder="1"/>
    <xf numFmtId="43" fontId="8" fillId="4" borderId="8" xfId="0" applyNumberFormat="1" applyFont="1" applyFill="1" applyBorder="1"/>
    <xf numFmtId="10" fontId="8" fillId="4" borderId="9" xfId="1" applyNumberFormat="1" applyFont="1" applyFill="1" applyBorder="1"/>
    <xf numFmtId="43" fontId="8" fillId="4" borderId="1" xfId="0" applyNumberFormat="1" applyFont="1" applyFill="1" applyBorder="1"/>
    <xf numFmtId="43" fontId="8" fillId="0" borderId="1" xfId="1" applyNumberFormat="1" applyFont="1" applyFill="1" applyBorder="1"/>
    <xf numFmtId="43" fontId="8" fillId="0" borderId="8" xfId="1" applyNumberFormat="1" applyFont="1" applyFill="1" applyBorder="1"/>
    <xf numFmtId="43" fontId="8" fillId="0" borderId="8" xfId="1" applyFont="1" applyFill="1" applyBorder="1"/>
    <xf numFmtId="17" fontId="9" fillId="4" borderId="3" xfId="0" quotePrefix="1" applyNumberFormat="1" applyFont="1" applyFill="1" applyBorder="1" applyAlignment="1">
      <alignment horizontal="center" wrapText="1"/>
    </xf>
    <xf numFmtId="43" fontId="8" fillId="4" borderId="2" xfId="1" applyFont="1" applyFill="1" applyBorder="1"/>
    <xf numFmtId="43" fontId="8" fillId="0" borderId="1" xfId="1" applyFont="1" applyFill="1" applyBorder="1"/>
    <xf numFmtId="10" fontId="8" fillId="4" borderId="1" xfId="1" applyNumberFormat="1" applyFont="1" applyFill="1" applyBorder="1"/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2011-12/Zensar%20Financials%20in%20all%20Currencies%20till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2011-12/Zensar%20Financials%20in%20USD%20for%202011%20&amp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2011-12/Mar-12/MIS%20Mar-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old/MIS%202002-03/Monthly%20MIS/INDIA%20GAAP%20-%20March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old/MIS%202004-05/mONTHLY/March%202005/MIS%20March%20200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2-13\Mar-13\MIS%20Mar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4-15\Mar-15%20Closure\Consolidation%20-%20Mar-15%20-%20Caste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IS\MIS%202013-14\Mar-14\MIS%20Mar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Sheet1"/>
    </sheetNames>
    <sheetDataSet>
      <sheetData sheetId="0">
        <row r="11">
          <cell r="E11">
            <v>4330.38</v>
          </cell>
          <cell r="F11">
            <v>2157.59</v>
          </cell>
          <cell r="G11">
            <v>2396.5700000000002</v>
          </cell>
          <cell r="H11">
            <v>2396.4899999999998</v>
          </cell>
          <cell r="I11">
            <v>2392.04</v>
          </cell>
          <cell r="J11">
            <v>2343.59</v>
          </cell>
          <cell r="K11">
            <v>2333.63</v>
          </cell>
          <cell r="L11">
            <v>2328.81</v>
          </cell>
          <cell r="M11">
            <v>2328.81</v>
          </cell>
        </row>
        <row r="12">
          <cell r="H12">
            <v>0.66</v>
          </cell>
          <cell r="I12">
            <v>12.75</v>
          </cell>
          <cell r="J12">
            <v>0.61</v>
          </cell>
          <cell r="K12">
            <v>1.1000000000000001</v>
          </cell>
        </row>
        <row r="13">
          <cell r="E13">
            <v>40270.619152522209</v>
          </cell>
          <cell r="F13">
            <v>30812.63</v>
          </cell>
          <cell r="G13">
            <v>23464.59</v>
          </cell>
          <cell r="H13">
            <v>26023.752869999989</v>
          </cell>
          <cell r="I13">
            <v>21377.104816549003</v>
          </cell>
          <cell r="J13">
            <v>15778.65</v>
          </cell>
          <cell r="K13">
            <v>12962.596400000006</v>
          </cell>
          <cell r="L13">
            <v>9383.3799999999992</v>
          </cell>
          <cell r="M13">
            <v>8816.49</v>
          </cell>
        </row>
        <row r="15">
          <cell r="E15">
            <v>44600.999152522207</v>
          </cell>
          <cell r="F15">
            <v>32970.22</v>
          </cell>
          <cell r="G15">
            <v>25861.16</v>
          </cell>
          <cell r="H15">
            <v>28420.902869999991</v>
          </cell>
          <cell r="I15">
            <v>23781.894816549004</v>
          </cell>
          <cell r="J15">
            <v>18122.849999999999</v>
          </cell>
          <cell r="K15">
            <v>15297.326400000005</v>
          </cell>
          <cell r="L15">
            <v>11712.189999999999</v>
          </cell>
        </row>
        <row r="19">
          <cell r="M19">
            <v>0</v>
          </cell>
        </row>
        <row r="21">
          <cell r="M21">
            <v>0.13</v>
          </cell>
        </row>
        <row r="23">
          <cell r="E23">
            <v>23632.7</v>
          </cell>
          <cell r="F23">
            <v>4468</v>
          </cell>
          <cell r="G23">
            <v>7603.31</v>
          </cell>
          <cell r="H23">
            <v>6386.04</v>
          </cell>
          <cell r="I23">
            <v>8846.75</v>
          </cell>
          <cell r="J23">
            <v>1509.6100000000001</v>
          </cell>
          <cell r="K23">
            <v>1437.25</v>
          </cell>
          <cell r="L23">
            <v>0.13</v>
          </cell>
        </row>
        <row r="25">
          <cell r="E25">
            <v>68233.699152522211</v>
          </cell>
          <cell r="F25">
            <v>37438.22</v>
          </cell>
          <cell r="G25">
            <v>33464.47</v>
          </cell>
          <cell r="H25">
            <v>34806.942869999992</v>
          </cell>
          <cell r="I25">
            <v>32628.644816549004</v>
          </cell>
          <cell r="J25">
            <v>19632.46</v>
          </cell>
          <cell r="K25">
            <v>16734.576400000005</v>
          </cell>
          <cell r="L25">
            <v>11712.319999999998</v>
          </cell>
          <cell r="M25">
            <v>11145.429999999998</v>
          </cell>
        </row>
        <row r="29">
          <cell r="E29">
            <v>35248.129999999997</v>
          </cell>
          <cell r="F29">
            <v>10356.49</v>
          </cell>
          <cell r="G29">
            <v>11740.41</v>
          </cell>
          <cell r="H29">
            <v>19101.47</v>
          </cell>
          <cell r="I29">
            <v>18326.030000000002</v>
          </cell>
          <cell r="J29">
            <v>7497.76</v>
          </cell>
          <cell r="K29">
            <v>5579.46</v>
          </cell>
          <cell r="L29">
            <v>4266.62</v>
          </cell>
          <cell r="M29">
            <v>2748.55</v>
          </cell>
        </row>
        <row r="31">
          <cell r="E31">
            <v>2560.9299999999998</v>
          </cell>
          <cell r="F31">
            <v>1513.31</v>
          </cell>
          <cell r="G31">
            <v>2372.15</v>
          </cell>
          <cell r="H31">
            <v>1595.43</v>
          </cell>
          <cell r="I31">
            <v>2037.57</v>
          </cell>
          <cell r="J31">
            <v>1356.15</v>
          </cell>
          <cell r="K31">
            <v>0.59</v>
          </cell>
          <cell r="L31">
            <v>0.59</v>
          </cell>
          <cell r="M31">
            <v>805.07</v>
          </cell>
        </row>
        <row r="39">
          <cell r="E39">
            <v>62112.117909800014</v>
          </cell>
          <cell r="F39">
            <v>38910.78</v>
          </cell>
          <cell r="G39">
            <v>32048.489999999998</v>
          </cell>
          <cell r="H39">
            <v>25672.172160586</v>
          </cell>
          <cell r="I39">
            <v>23433.594816549001</v>
          </cell>
          <cell r="J39">
            <v>18458.32</v>
          </cell>
          <cell r="K39">
            <v>17116.740000000002</v>
          </cell>
          <cell r="L39">
            <v>11806.48</v>
          </cell>
          <cell r="M39">
            <v>11714.830000000002</v>
          </cell>
        </row>
        <row r="49">
          <cell r="E49">
            <v>2115.3200000000002</v>
          </cell>
          <cell r="F49">
            <v>385.75</v>
          </cell>
          <cell r="G49">
            <v>575.84</v>
          </cell>
          <cell r="H49">
            <v>399.52000000000004</v>
          </cell>
          <cell r="I49">
            <v>397.48000000000008</v>
          </cell>
          <cell r="J49">
            <v>146.30000000000001</v>
          </cell>
          <cell r="K49">
            <v>177.16</v>
          </cell>
          <cell r="L49">
            <v>278.62</v>
          </cell>
          <cell r="M49">
            <v>589.88</v>
          </cell>
        </row>
        <row r="62">
          <cell r="E62">
            <v>107818.41</v>
          </cell>
          <cell r="F62">
            <v>94477.27</v>
          </cell>
          <cell r="G62">
            <v>90169.04</v>
          </cell>
          <cell r="H62">
            <v>77479.884044100007</v>
          </cell>
          <cell r="I62">
            <v>60586.060000000005</v>
          </cell>
          <cell r="J62">
            <v>42841.61</v>
          </cell>
          <cell r="K62">
            <v>34398.659999999996</v>
          </cell>
          <cell r="L62">
            <v>26629.66</v>
          </cell>
          <cell r="M62">
            <v>22734.720000000001</v>
          </cell>
        </row>
        <row r="63">
          <cell r="E63">
            <v>1695.34</v>
          </cell>
          <cell r="F63">
            <v>798.23</v>
          </cell>
          <cell r="G63">
            <v>639.08000000000004</v>
          </cell>
          <cell r="H63">
            <v>813.47595590000003</v>
          </cell>
          <cell r="J63">
            <v>37.22</v>
          </cell>
          <cell r="K63">
            <v>90.26</v>
          </cell>
          <cell r="L63">
            <v>77.489999999999995</v>
          </cell>
          <cell r="M63">
            <v>108.45</v>
          </cell>
        </row>
        <row r="64">
          <cell r="E64">
            <v>4315.7299999999996</v>
          </cell>
        </row>
        <row r="66">
          <cell r="F66">
            <v>96103.19</v>
          </cell>
          <cell r="G66">
            <v>92216.33</v>
          </cell>
          <cell r="H66">
            <v>79512.25</v>
          </cell>
          <cell r="I66">
            <v>61483.15</v>
          </cell>
          <cell r="J66">
            <v>43341.83</v>
          </cell>
          <cell r="K66">
            <v>34953.83</v>
          </cell>
          <cell r="L66">
            <v>27364.600000000002</v>
          </cell>
          <cell r="M66">
            <v>23245.88</v>
          </cell>
        </row>
        <row r="69">
          <cell r="E69">
            <v>98326.16</v>
          </cell>
        </row>
        <row r="70">
          <cell r="E70">
            <v>386.15</v>
          </cell>
          <cell r="F70">
            <v>272.83999999999997</v>
          </cell>
          <cell r="G70">
            <v>387.74</v>
          </cell>
          <cell r="H70">
            <v>591.09000000000015</v>
          </cell>
          <cell r="I70">
            <v>209.99</v>
          </cell>
          <cell r="J70">
            <v>161.13</v>
          </cell>
          <cell r="K70">
            <v>89.93</v>
          </cell>
          <cell r="L70">
            <v>37.78</v>
          </cell>
          <cell r="M70">
            <v>35.409999999999997</v>
          </cell>
        </row>
        <row r="75">
          <cell r="E75">
            <v>15012.479999999996</v>
          </cell>
          <cell r="F75">
            <v>14915.229999999996</v>
          </cell>
          <cell r="G75">
            <v>11181.550000000003</v>
          </cell>
          <cell r="H75">
            <v>8142.5999999999913</v>
          </cell>
          <cell r="I75">
            <v>7445.4800000000032</v>
          </cell>
          <cell r="J75">
            <v>4166.0500000000029</v>
          </cell>
          <cell r="K75">
            <v>2216.4599999999991</v>
          </cell>
          <cell r="L75">
            <v>1681.9600000000028</v>
          </cell>
          <cell r="M75">
            <v>1597.6100000000042</v>
          </cell>
        </row>
        <row r="81">
          <cell r="E81">
            <v>15012.479999999996</v>
          </cell>
          <cell r="F81">
            <v>14915.229999999996</v>
          </cell>
          <cell r="G81">
            <v>11181.550000000003</v>
          </cell>
          <cell r="H81">
            <v>8142.5999999999913</v>
          </cell>
          <cell r="I81">
            <v>7379.7900000000036</v>
          </cell>
          <cell r="J81">
            <v>3948.1900000000028</v>
          </cell>
          <cell r="K81">
            <v>1954.1699999999992</v>
          </cell>
          <cell r="L81">
            <v>1681.9600000000028</v>
          </cell>
          <cell r="M81">
            <v>1350.0400000000043</v>
          </cell>
        </row>
        <row r="99">
          <cell r="E99">
            <v>13172.779999999997</v>
          </cell>
          <cell r="F99">
            <v>12755.819999999996</v>
          </cell>
          <cell r="G99">
            <v>8656.3200000000033</v>
          </cell>
          <cell r="H99">
            <v>6403.0099999999911</v>
          </cell>
          <cell r="I99">
            <v>5718.7400000000052</v>
          </cell>
          <cell r="J99">
            <v>3392.720000000003</v>
          </cell>
          <cell r="K99">
            <v>3908.0899999999992</v>
          </cell>
          <cell r="L99">
            <v>1256.7600000000027</v>
          </cell>
          <cell r="M99">
            <v>985.57000000000426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&amp; P&amp;L"/>
    </sheetNames>
    <sheetDataSet>
      <sheetData sheetId="0">
        <row r="11">
          <cell r="E11">
            <v>4340.9907730956793</v>
          </cell>
        </row>
        <row r="13">
          <cell r="E13">
            <v>53206.153532390905</v>
          </cell>
        </row>
        <row r="15">
          <cell r="E15">
            <v>57547.144305486581</v>
          </cell>
        </row>
        <row r="23">
          <cell r="E23">
            <v>24422.399999999998</v>
          </cell>
        </row>
        <row r="25">
          <cell r="E25">
            <v>81969.544305486575</v>
          </cell>
        </row>
        <row r="29">
          <cell r="E29">
            <v>38052.154142496911</v>
          </cell>
        </row>
        <row r="31">
          <cell r="E31">
            <v>4777.2808802679965</v>
          </cell>
        </row>
        <row r="39">
          <cell r="E39">
            <v>91828.96953301024</v>
          </cell>
        </row>
        <row r="49">
          <cell r="E49">
            <v>2322.8317491130001</v>
          </cell>
        </row>
        <row r="62">
          <cell r="E62">
            <v>119289.73830501449</v>
          </cell>
        </row>
        <row r="63">
          <cell r="E63">
            <v>2708.6062989999996</v>
          </cell>
        </row>
        <row r="64">
          <cell r="E64">
            <v>56249.553024065171</v>
          </cell>
        </row>
        <row r="66">
          <cell r="E66">
            <v>182427.72745124123</v>
          </cell>
        </row>
        <row r="70">
          <cell r="E70">
            <v>934.45332916181314</v>
          </cell>
        </row>
        <row r="75">
          <cell r="E75">
            <v>23636.64966583217</v>
          </cell>
        </row>
        <row r="81">
          <cell r="E81">
            <v>23636.64966583217</v>
          </cell>
        </row>
        <row r="99">
          <cell r="E99">
            <v>15870.695822332171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1"/>
      <sheetName val="Overview 2"/>
      <sheetName val="Overview 3"/>
      <sheetName val="Overview 4"/>
      <sheetName val="Debtors"/>
      <sheetName val="Key Ratio"/>
      <sheetName val="BPI"/>
      <sheetName val="MIS - P&amp;L "/>
      <sheetName val="YOY Trend"/>
      <sheetName val="YOY Trend (Without Akibia)"/>
      <sheetName val="Montly Key Nos."/>
      <sheetName val="Perf Analysis PM"/>
      <sheetName val="Perf Analysis YTD Budget"/>
      <sheetName val="Perf Analysis FTM Budget"/>
      <sheetName val="D.Cost &amp; Opex"/>
      <sheetName val="Perf Report FTM"/>
      <sheetName val="YOY trend without Akibia"/>
      <sheetName val="Perf Report YTD"/>
      <sheetName val="LE Wise Trends"/>
      <sheetName val="Entity BS"/>
      <sheetName val="Fundflow"/>
      <sheetName val="Currency Trend"/>
      <sheetName val="SBU Rev"/>
      <sheetName val="SBU P&amp;L Summary"/>
      <sheetName val="Top 10"/>
      <sheetName val="STD Cost"/>
      <sheetName val="Main Sheet"/>
      <sheetName val="LE Wise PM"/>
      <sheetName val="SBU P&amp;L"/>
      <sheetName val="Names"/>
      <sheetName val="VNDMISP&amp;L"/>
      <sheetName val="Sheet1"/>
      <sheetName val="Index"/>
      <sheetName val="Debtors without Akib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3">
          <cell r="AD23">
            <v>613.47803051743426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 1"/>
      <sheetName val="CEO"/>
      <sheetName val="for the month"/>
      <sheetName val="Revenue"/>
      <sheetName val="P&amp;L"/>
      <sheetName val="Main Sheet 2"/>
      <sheetName val="Back up"/>
      <sheetName val="BS"/>
      <sheetName val="BPI"/>
      <sheetName val="MIS - P&amp;L "/>
      <sheetName val="UK"/>
      <sheetName val="US"/>
      <sheetName val="India - Ext-FEB"/>
      <sheetName val="LOS Wise Revenues"/>
      <sheetName val="Drs, Ageing"/>
      <sheetName val="Sheet1 (2)"/>
      <sheetName val="India - IntDrs-FEB"/>
      <sheetName val="Sheet1 (3)"/>
      <sheetName val="MIS Feb"/>
      <sheetName val="Sheet1"/>
      <sheetName val="Std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8">
          <cell r="I18">
            <v>13362.795600000001</v>
          </cell>
        </row>
        <row r="30">
          <cell r="I30">
            <v>1597.3711920872163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MIS - P&amp;L "/>
      <sheetName val="Monthly"/>
      <sheetName val="MIS-Std Cost"/>
      <sheetName val="Revenue"/>
      <sheetName val="DC Opex"/>
      <sheetName val="STD Cost"/>
      <sheetName val="BS"/>
      <sheetName val="Entity BS"/>
      <sheetName val="11i Grp BS"/>
      <sheetName val="Fundflow"/>
      <sheetName val="CEO"/>
      <sheetName val="BPO P &amp; L"/>
      <sheetName val="BPI"/>
      <sheetName val="Top 10"/>
      <sheetName val="Back up"/>
      <sheetName val="Sing"/>
      <sheetName val="10 Debtors"/>
      <sheetName val="India - Ext-Mar"/>
      <sheetName val="US"/>
      <sheetName val="UK"/>
      <sheetName val="India - IntDrs-Jan05 INR"/>
      <sheetName val="Tax"/>
      <sheetName val="Report"/>
    </sheetNames>
    <sheetDataSet>
      <sheetData sheetId="0" refreshError="1"/>
      <sheetData sheetId="1">
        <row r="20">
          <cell r="I20">
            <v>21454.560075088728</v>
          </cell>
          <cell r="L20">
            <v>16083.978763682915</v>
          </cell>
        </row>
        <row r="34">
          <cell r="I34">
            <v>2840.5382550112708</v>
          </cell>
          <cell r="L34">
            <v>2146.2104855170828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1"/>
      <sheetName val="Overview 2"/>
      <sheetName val="Overview 3"/>
      <sheetName val="Overview 4"/>
      <sheetName val="Debtors"/>
      <sheetName val="Key Ratio"/>
      <sheetName val="BPI"/>
      <sheetName val="MIS - P&amp;L "/>
      <sheetName val="YOY Trend"/>
      <sheetName val="YOY Trend (Without Akibia)"/>
      <sheetName val="Montly Key Nos."/>
      <sheetName val="Perf Analysis PM"/>
      <sheetName val="Perf Analysis YTD Budget"/>
      <sheetName val="Perf Analysis FTM Budget"/>
      <sheetName val="D.Cost &amp; Opex"/>
      <sheetName val="Perf Report FTM"/>
      <sheetName val="YOY trend without Akibia"/>
      <sheetName val="Perf Report YTD"/>
      <sheetName val="LE Wise Trends"/>
      <sheetName val="Entity BS"/>
      <sheetName val="Fundflow"/>
      <sheetName val="Currency Trend"/>
      <sheetName val="VBU Rev"/>
      <sheetName val="VBU P&amp;L Summary"/>
      <sheetName val="Top 10"/>
      <sheetName val="STD Cost"/>
      <sheetName val="Main Sheet"/>
      <sheetName val="LE Wise PM"/>
      <sheetName val="VBU P&amp;L"/>
      <sheetName val="Names"/>
      <sheetName val="VNDMISP&amp;L"/>
      <sheetName val="Sheet1"/>
      <sheetName val="Index"/>
    </sheetNames>
    <sheetDataSet>
      <sheetData sheetId="0"/>
      <sheetData sheetId="1"/>
      <sheetData sheetId="2"/>
      <sheetData sheetId="3"/>
      <sheetData sheetId="4"/>
      <sheetData sheetId="5">
        <row r="42">
          <cell r="F42">
            <v>0.29269955862860553</v>
          </cell>
        </row>
      </sheetData>
      <sheetData sheetId="6"/>
      <sheetData sheetId="7">
        <row r="11">
          <cell r="I11">
            <v>211452.57221217969</v>
          </cell>
        </row>
        <row r="21">
          <cell r="I21">
            <v>63362.306806707747</v>
          </cell>
        </row>
        <row r="24">
          <cell r="I24">
            <v>994.55970723712016</v>
          </cell>
        </row>
        <row r="27">
          <cell r="I27">
            <v>26060.959427917638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AD11">
            <v>43.580987999999998</v>
          </cell>
        </row>
        <row r="12">
          <cell r="AD12">
            <v>685.3193896245798</v>
          </cell>
        </row>
        <row r="13">
          <cell r="AD13">
            <v>728.90037762457985</v>
          </cell>
        </row>
        <row r="15">
          <cell r="AD15">
            <v>195.44399999999999</v>
          </cell>
        </row>
        <row r="23">
          <cell r="AD23">
            <v>647.79630174734007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WW1"/>
      <sheetName val="Sch VI P&amp;L WW"/>
      <sheetName val="Sch VI P&amp;L Detailed"/>
      <sheetName val="Sheet1"/>
      <sheetName val="Sheet2"/>
      <sheetName val="Sch VI P&amp;L Detailed Sep"/>
      <sheetName val="Sch VI P&amp;L Detailed Jun"/>
      <sheetName val="Sch VI P&amp;L June"/>
      <sheetName val="Sch VI P&amp;L Sep"/>
      <sheetName val="Sch VI P&amp;L Detailed Dec"/>
      <sheetName val="Sch VI P&amp;L Detailed Dec 14"/>
      <sheetName val="Sheet10"/>
      <sheetName val="Sch VI P&amp;L Jun 14"/>
      <sheetName val="Sch VI P&amp;L Detailed Jun 14"/>
      <sheetName val="Sch VI P&amp;L Sep 14"/>
      <sheetName val="Sch VI P&amp;L Detailed Sep 14"/>
      <sheetName val="Sch VI P&amp;L Dec 14"/>
      <sheetName val="Sch VI BS WW (Detailed) Sep"/>
      <sheetName val="Sch VI BS WW Dec 14"/>
      <sheetName val="Sch VI BS WW (Detailed) Dec 14"/>
      <sheetName val="Sch VI BS WW Mar 15"/>
      <sheetName val="Sch VI P&amp;L Mar 15"/>
      <sheetName val="Sheet8"/>
      <sheetName val="Schedule VI P&amp;L Detailed Mar 15"/>
      <sheetName val="Sch VI BS Detailed Mar 15"/>
      <sheetName val="BS 11i"/>
      <sheetName val="P&amp;L 11i"/>
      <sheetName val="Result India New Format"/>
      <sheetName val="Sch VI BS WW Sep"/>
      <sheetName val="Sch VI BS WW Jun"/>
      <sheetName val="Sch VI P&amp;L Detailed Mar"/>
      <sheetName val="Sch VI P&amp;L Dec"/>
      <sheetName val="Sch VI P&amp;L Mar"/>
      <sheetName val="BS WW1"/>
      <sheetName val="BS WW"/>
      <sheetName val="Result Conso New Format old"/>
      <sheetName val="Sch VI BS WW (Detailed) Jun"/>
      <sheetName val="Revised PL"/>
      <sheetName val="CashFlow New format  13-14"/>
      <sheetName val="Result Conso New Format"/>
      <sheetName val="Revised BS"/>
      <sheetName val="Revised Notes"/>
      <sheetName val="Groupings"/>
      <sheetName val="PWC - FA Mar 15"/>
      <sheetName val="Policies (2)"/>
      <sheetName val="Sch VI BS Sep"/>
      <sheetName val="Sch VI BS Detailed Sep"/>
      <sheetName val="Sch VI BS Detailed"/>
      <sheetName val="Sch VI BS"/>
      <sheetName val="Sheet5"/>
      <sheetName val="Sch VI BS WW Mar"/>
      <sheetName val="Sch VI BS WW (Detailed) Mar"/>
      <sheetName val="Sch VI BS WW Dec"/>
      <sheetName val="Sch VI BS WW (Detailed) Dec"/>
      <sheetName val="Result India New Format old"/>
      <sheetName val="Result Conso New"/>
      <sheetName val="Result India New"/>
      <sheetName val="PL WW"/>
      <sheetName val="PWC - Schedules "/>
      <sheetName val="Result Conso Final"/>
      <sheetName val="Result India Final"/>
      <sheetName val="PWC - BS"/>
      <sheetName val="PWC - PL- Revised"/>
      <sheetName val="Ratios"/>
      <sheetName val="Cashflow Working"/>
      <sheetName val="Cash Flow"/>
      <sheetName val="PWC - F A Mar 08"/>
      <sheetName val="PWC - F A Mar 11 (2)"/>
      <sheetName val="PWC - F A Mar 11"/>
      <sheetName val="EPS"/>
      <sheetName val="ESOP Summary"/>
      <sheetName val="Shares Av Price"/>
      <sheetName val="PWC - FA Mar 12 (2)"/>
      <sheetName val="Final Notes(formated) (2)"/>
      <sheetName val="PWC - FA Mar 12 (3)"/>
      <sheetName val="BS Detailed"/>
      <sheetName val="Sheet3"/>
      <sheetName val="Sheet4"/>
      <sheetName val="Sheet6"/>
      <sheetName val="Names Definition"/>
      <sheetName val="PWC - FA Mar 12"/>
      <sheetName val="Final Notes(formated)"/>
      <sheetName val="Policies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">
          <cell r="H11">
            <v>262768</v>
          </cell>
          <cell r="J11">
            <v>231560</v>
          </cell>
        </row>
        <row r="13">
          <cell r="J13">
            <v>233501</v>
          </cell>
        </row>
        <row r="56">
          <cell r="J56">
            <v>54.4</v>
          </cell>
        </row>
      </sheetData>
      <sheetData sheetId="40">
        <row r="13">
          <cell r="J13">
            <v>115697.84099353298</v>
          </cell>
          <cell r="M13">
            <v>94550.227425607809</v>
          </cell>
        </row>
        <row r="70">
          <cell r="M70">
            <v>148590.79394097434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 1"/>
      <sheetName val="Overview 2"/>
      <sheetName val="Overview 3"/>
      <sheetName val="Overview 4"/>
      <sheetName val="Debtors"/>
      <sheetName val="Key Ratio"/>
      <sheetName val="BPI"/>
      <sheetName val="MIS - P&amp;L "/>
      <sheetName val="YOY Trend"/>
      <sheetName val="YOY Trend (Without Akibia)"/>
      <sheetName val="Montly Key Nos."/>
      <sheetName val="Perf Analysis PM"/>
      <sheetName val="Perf Analysis YTD Budget"/>
      <sheetName val="Perf Analysis FTM Budget"/>
      <sheetName val="D.Cost &amp; Opex"/>
      <sheetName val="Perf Report FTM"/>
      <sheetName val="YOY trend without Akibia"/>
      <sheetName val="Perf Report YTD"/>
      <sheetName val="LE Wise Trends"/>
      <sheetName val="Entity BS"/>
      <sheetName val="Fundflow"/>
      <sheetName val="Currency Trend"/>
      <sheetName val="VBU Rev"/>
      <sheetName val="VBU P&amp;L Summary"/>
      <sheetName val="Top 10"/>
      <sheetName val="STD Cost"/>
      <sheetName val="Main Sheet"/>
      <sheetName val="LE Wise PM"/>
      <sheetName val="VBU P&amp;L"/>
      <sheetName val="Names"/>
      <sheetName val="VNDMISP&amp;L"/>
      <sheetName val="Sheet1"/>
      <sheetName val="Index"/>
    </sheetNames>
    <sheetDataSet>
      <sheetData sheetId="0"/>
      <sheetData sheetId="1"/>
      <sheetData sheetId="2"/>
      <sheetData sheetId="3">
        <row r="11">
          <cell r="D11">
            <v>1745.8547502862523</v>
          </cell>
        </row>
      </sheetData>
      <sheetData sheetId="4"/>
      <sheetData sheetId="5">
        <row r="30">
          <cell r="F30">
            <v>374.3</v>
          </cell>
        </row>
        <row r="42">
          <cell r="F42">
            <v>0.31492916703237622</v>
          </cell>
        </row>
      </sheetData>
      <sheetData sheetId="6"/>
      <sheetData sheetId="7">
        <row r="9">
          <cell r="B9">
            <v>15207.727238590509</v>
          </cell>
        </row>
        <row r="11">
          <cell r="I11">
            <v>231560.29952988488</v>
          </cell>
        </row>
        <row r="21">
          <cell r="I21">
            <v>71989.311689034861</v>
          </cell>
        </row>
      </sheetData>
      <sheetData sheetId="8">
        <row r="14">
          <cell r="AG14">
            <v>19197.131042939312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AF11">
            <v>43.767493999999992</v>
          </cell>
        </row>
        <row r="13">
          <cell r="AF13">
            <v>946.60184105303108</v>
          </cell>
        </row>
        <row r="15">
          <cell r="AF15">
            <v>165.19797633415999</v>
          </cell>
        </row>
        <row r="23">
          <cell r="AF23">
            <v>675.67863362821129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22.42578125" customWidth="1"/>
    <col min="2" max="2" width="14.42578125" bestFit="1" customWidth="1"/>
    <col min="3" max="8" width="10" bestFit="1" customWidth="1"/>
    <col min="9" max="10" width="11" bestFit="1" customWidth="1"/>
    <col min="11" max="11" width="11.5703125" bestFit="1" customWidth="1"/>
    <col min="12" max="14" width="0" hidden="1" customWidth="1"/>
  </cols>
  <sheetData>
    <row r="1" spans="1:12" x14ac:dyDescent="0.25">
      <c r="A1" s="1"/>
      <c r="B1" s="1"/>
      <c r="C1" s="1"/>
      <c r="D1" s="2" t="s">
        <v>0</v>
      </c>
      <c r="E1" s="2"/>
      <c r="F1" s="2"/>
      <c r="G1" s="2"/>
    </row>
    <row r="2" spans="1:12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21</v>
      </c>
      <c r="I2" s="6" t="s">
        <v>22</v>
      </c>
      <c r="J2" s="6" t="s">
        <v>23</v>
      </c>
      <c r="K2" s="6" t="s">
        <v>24</v>
      </c>
    </row>
    <row r="3" spans="1:12" x14ac:dyDescent="0.25">
      <c r="A3" s="1" t="s">
        <v>8</v>
      </c>
      <c r="B3" s="8">
        <f>+('[1]Balance Sheet'!$M$62+'[1]Balance Sheet'!$M$63+'[1]Balance Sheet'!$M$64)/100</f>
        <v>228.43170000000001</v>
      </c>
      <c r="C3" s="8">
        <f>+('[1]Balance Sheet'!$L$62+'[1]Balance Sheet'!$L$63)/100</f>
        <v>267.07150000000001</v>
      </c>
      <c r="D3" s="8">
        <f>+('[1]Balance Sheet'!$K$62+'[1]Balance Sheet'!$K$63)/100</f>
        <v>344.88919999999996</v>
      </c>
      <c r="E3" s="8">
        <f>(+'[1]Balance Sheet'!$J$62+'[1]Balance Sheet'!$J$63)/100</f>
        <v>428.78829999999999</v>
      </c>
      <c r="F3" s="8">
        <f>+'[1]Balance Sheet'!$I$62/100</f>
        <v>605.86060000000009</v>
      </c>
      <c r="G3" s="8">
        <f>+('[1]Balance Sheet'!$H$62+'[1]Balance Sheet'!$H$63)/100</f>
        <v>782.93359999999996</v>
      </c>
      <c r="H3" s="19">
        <f>(+'[1]Balance Sheet'!$G$62+'[1]Balance Sheet'!$G$63)/100</f>
        <v>908.08119999999997</v>
      </c>
      <c r="I3" s="19">
        <f>(+'[1]Balance Sheet'!$F$62+'[1]Balance Sheet'!$F$63)/100</f>
        <v>952.755</v>
      </c>
      <c r="J3" s="19">
        <f>(+'[1]Balance Sheet'!$E$62+'[1]Balance Sheet'!$E$63+'[1]Balance Sheet'!$E$64)/100</f>
        <v>1138.2947999999999</v>
      </c>
      <c r="K3" s="19">
        <f>(+'[2]Balance Sheet &amp; P&amp;L'!$E$62+'[2]Balance Sheet &amp; P&amp;L'!$E$63+'[2]Balance Sheet &amp; P&amp;L'!$E$64)/100</f>
        <v>1782.4789762807966</v>
      </c>
    </row>
    <row r="4" spans="1:12" x14ac:dyDescent="0.25">
      <c r="A4" s="1" t="s">
        <v>9</v>
      </c>
      <c r="B4" s="8">
        <f>+'[1]Balance Sheet'!$M$66/100</f>
        <v>232.4588</v>
      </c>
      <c r="C4" s="8">
        <f>+'[1]Balance Sheet'!$L$66/100</f>
        <v>273.64600000000002</v>
      </c>
      <c r="D4" s="8">
        <f>+'[1]Balance Sheet'!$K$66/100</f>
        <v>349.53829999999999</v>
      </c>
      <c r="E4" s="8">
        <f>+'[1]Balance Sheet'!$J$66/100</f>
        <v>433.41830000000004</v>
      </c>
      <c r="F4" s="8">
        <f>+'[1]Balance Sheet'!$I$66/100</f>
        <v>614.83150000000001</v>
      </c>
      <c r="G4" s="8">
        <f>+'[1]Balance Sheet'!$H$66/100</f>
        <v>795.12249999999995</v>
      </c>
      <c r="H4" s="19">
        <f>+'[1]Balance Sheet'!$G$66/100</f>
        <v>922.16330000000005</v>
      </c>
      <c r="I4" s="19">
        <f>+'[1]Balance Sheet'!$F$66/100</f>
        <v>961.03190000000006</v>
      </c>
      <c r="J4" s="19">
        <f>+'[1]Balance Sheet'!$E$69/100</f>
        <v>983.26160000000004</v>
      </c>
      <c r="K4" s="19">
        <f>+'[2]Balance Sheet &amp; P&amp;L'!$E$66/100</f>
        <v>1824.2772745124123</v>
      </c>
    </row>
    <row r="5" spans="1:12" x14ac:dyDescent="0.25">
      <c r="A5" s="1" t="s">
        <v>10</v>
      </c>
      <c r="B5" s="8">
        <f>+('[1]Balance Sheet'!$M$75+'[1]Balance Sheet'!$M$70)/100</f>
        <v>16.330200000000044</v>
      </c>
      <c r="C5" s="8">
        <f>+('[1]Balance Sheet'!$L$75+'[1]Balance Sheet'!$L$70)/100</f>
        <v>17.197400000000027</v>
      </c>
      <c r="D5" s="8">
        <f>+('[1]Balance Sheet'!$K$75+'[1]Balance Sheet'!$K$70)/100</f>
        <v>23.06389999999999</v>
      </c>
      <c r="E5" s="8">
        <f>(+'[1]Balance Sheet'!$J$75+'[1]Balance Sheet'!$J$70)/100</f>
        <v>43.271800000000027</v>
      </c>
      <c r="F5" s="8">
        <f>+('[1]Balance Sheet'!$I$75+'[1]Balance Sheet'!$I$70)/100</f>
        <v>76.554700000000025</v>
      </c>
      <c r="G5" s="8">
        <f>(+'[1]Balance Sheet'!$H$75+'[1]Balance Sheet'!$H$70)/100</f>
        <v>87.336899999999915</v>
      </c>
      <c r="H5" s="19">
        <f>(+'[1]Balance Sheet'!$G$75+'[1]Balance Sheet'!$G$70)/100</f>
        <v>115.69290000000002</v>
      </c>
      <c r="I5" s="19">
        <f>(+'[1]Balance Sheet'!$F$75+'[1]Balance Sheet'!$F$70)/100</f>
        <v>151.88069999999996</v>
      </c>
      <c r="J5" s="19">
        <f>(+'[1]Balance Sheet'!$E$75+'[1]Balance Sheet'!$E$70)/100</f>
        <v>153.98629999999994</v>
      </c>
      <c r="K5" s="19">
        <f>(+'[2]Balance Sheet &amp; P&amp;L'!$E$75+'[2]Balance Sheet &amp; P&amp;L'!$E$70)/100</f>
        <v>245.71102994993984</v>
      </c>
    </row>
    <row r="6" spans="1:12" x14ac:dyDescent="0.25">
      <c r="A6" s="1" t="s">
        <v>11</v>
      </c>
      <c r="B6" s="8">
        <f>+'[1]Balance Sheet'!$M$75/100</f>
        <v>15.976100000000041</v>
      </c>
      <c r="C6" s="8">
        <f>+'[1]Balance Sheet'!$L$75/100</f>
        <v>16.819600000000026</v>
      </c>
      <c r="D6" s="8">
        <f>+'[1]Balance Sheet'!$K$75/100</f>
        <v>22.164599999999993</v>
      </c>
      <c r="E6" s="8">
        <f>+'[1]Balance Sheet'!$J$75/100</f>
        <v>41.660500000000027</v>
      </c>
      <c r="F6" s="8">
        <f>+'[1]Balance Sheet'!$I$75/100</f>
        <v>74.454800000000034</v>
      </c>
      <c r="G6" s="8">
        <f>+'[1]Balance Sheet'!$H$75/100</f>
        <v>81.425999999999917</v>
      </c>
      <c r="H6" s="19">
        <f>+'[1]Balance Sheet'!$G$75/100</f>
        <v>111.81550000000003</v>
      </c>
      <c r="I6" s="19">
        <f>+'[1]Balance Sheet'!$F$75/100</f>
        <v>149.15229999999997</v>
      </c>
      <c r="J6" s="19">
        <f>+'[1]Balance Sheet'!$E$75/100</f>
        <v>150.12479999999996</v>
      </c>
      <c r="K6" s="19">
        <f>+'[2]Balance Sheet &amp; P&amp;L'!$E$75/100</f>
        <v>236.36649665832169</v>
      </c>
    </row>
    <row r="7" spans="1:12" ht="30" x14ac:dyDescent="0.25">
      <c r="A7" s="1" t="s">
        <v>12</v>
      </c>
      <c r="B7" s="8">
        <f>+'[1]Balance Sheet'!$M$81/100</f>
        <v>13.500400000000043</v>
      </c>
      <c r="C7" s="8">
        <f>+'[1]Balance Sheet'!$L$81/100</f>
        <v>16.819600000000026</v>
      </c>
      <c r="D7" s="8">
        <f>+'[1]Balance Sheet'!$K$81/100</f>
        <v>19.541699999999992</v>
      </c>
      <c r="E7" s="8">
        <f>+'[1]Balance Sheet'!$J$81/100</f>
        <v>39.481900000000024</v>
      </c>
      <c r="F7" s="8">
        <f>+'[1]Balance Sheet'!$I$81/100</f>
        <v>73.797900000000041</v>
      </c>
      <c r="G7" s="8">
        <f>+'[1]Balance Sheet'!$H$81/100</f>
        <v>81.425999999999917</v>
      </c>
      <c r="H7" s="19">
        <f>+'[1]Balance Sheet'!$G$81/100</f>
        <v>111.81550000000003</v>
      </c>
      <c r="I7" s="19">
        <f>+'[1]Balance Sheet'!$F$81/100</f>
        <v>149.15229999999997</v>
      </c>
      <c r="J7" s="19">
        <f>+'[1]Balance Sheet'!$E$81/100</f>
        <v>150.12479999999996</v>
      </c>
      <c r="K7" s="19">
        <f>+'[2]Balance Sheet &amp; P&amp;L'!$E$81/100</f>
        <v>236.36649665832169</v>
      </c>
    </row>
    <row r="8" spans="1:12" x14ac:dyDescent="0.25">
      <c r="A8" s="1" t="s">
        <v>13</v>
      </c>
      <c r="B8" s="8">
        <f>+B20</f>
        <v>111.453</v>
      </c>
      <c r="C8" s="8">
        <f t="shared" ref="C8:K8" si="0">+C20</f>
        <v>117.1219</v>
      </c>
      <c r="D8" s="8">
        <f t="shared" si="0"/>
        <v>152.97326400000006</v>
      </c>
      <c r="E8" s="8">
        <f t="shared" si="0"/>
        <v>181.2285</v>
      </c>
      <c r="F8" s="8">
        <f t="shared" si="0"/>
        <v>237.81894816549001</v>
      </c>
      <c r="G8" s="8">
        <f t="shared" si="0"/>
        <v>284.20902869999986</v>
      </c>
      <c r="H8" s="8">
        <f t="shared" si="0"/>
        <v>258.61160000000001</v>
      </c>
      <c r="I8" s="8">
        <f>+I20</f>
        <v>329.7022</v>
      </c>
      <c r="J8" s="8">
        <f>+J20</f>
        <v>446.00999152522212</v>
      </c>
      <c r="K8" s="8">
        <f t="shared" si="0"/>
        <v>575.47144305486586</v>
      </c>
    </row>
    <row r="9" spans="1:12" x14ac:dyDescent="0.25">
      <c r="A9" s="25" t="s">
        <v>14</v>
      </c>
      <c r="B9" s="26">
        <f>4630.3/100</f>
        <v>46.303000000000004</v>
      </c>
      <c r="C9" s="26">
        <f>6397.37/100</f>
        <v>63.973700000000001</v>
      </c>
      <c r="D9" s="26">
        <f>8888.74/100</f>
        <v>88.8874</v>
      </c>
      <c r="E9" s="26">
        <f>8829.76/100</f>
        <v>88.297600000000003</v>
      </c>
      <c r="F9" s="26">
        <f>10872.24/100</f>
        <v>108.72239999999999</v>
      </c>
      <c r="G9" s="26">
        <f>12372.4/100</f>
        <v>123.72399999999999</v>
      </c>
      <c r="H9" s="27">
        <f>18465.52/100</f>
        <v>184.65520000000001</v>
      </c>
      <c r="I9" s="27">
        <f>21279.38/100</f>
        <v>212.7938</v>
      </c>
      <c r="J9" s="27">
        <f>54799.98/100</f>
        <v>547.99980000000005</v>
      </c>
      <c r="K9" s="27">
        <f>+'[3]Entity BS'!$AD$23</f>
        <v>613.47803051743426</v>
      </c>
      <c r="L9" t="s">
        <v>36</v>
      </c>
    </row>
    <row r="10" spans="1:12" x14ac:dyDescent="0.25">
      <c r="A10" s="1" t="s">
        <v>15</v>
      </c>
      <c r="B10" s="8">
        <f>+('[1]Balance Sheet'!$M$29+'[1]Balance Sheet'!$M$31+'[1]Balance Sheet'!$M$39+'[1]Balance Sheet'!$M$49)/100</f>
        <v>158.58330000000001</v>
      </c>
      <c r="C10" s="8">
        <f>+('[1]Balance Sheet'!$L$29+'[1]Balance Sheet'!$L$31+'[1]Balance Sheet'!$L$39+'[1]Balance Sheet'!$L$49)/100</f>
        <v>163.5231</v>
      </c>
      <c r="D10" s="8">
        <f>+('[1]Balance Sheet'!$K$29+'[1]Balance Sheet'!$K$31+'[1]Balance Sheet'!$K$39+'[1]Balance Sheet'!$K$49)/100</f>
        <v>228.73950000000002</v>
      </c>
      <c r="E10" s="8">
        <f>+('[1]Balance Sheet'!$J$29+'[1]Balance Sheet'!$J$31+'[1]Balance Sheet'!$J$39+'[1]Balance Sheet'!$J$49)/100</f>
        <v>274.58529999999996</v>
      </c>
      <c r="F10" s="8">
        <f>+('[1]Balance Sheet'!$I$29+'[1]Balance Sheet'!$I$31+'[1]Balance Sheet'!$I$39+'[1]Balance Sheet'!$I$49)/100</f>
        <v>441.94674816549008</v>
      </c>
      <c r="G10" s="8">
        <f>(+'[1]Balance Sheet'!$H$29+'[1]Balance Sheet'!$H$31+'[1]Balance Sheet'!$H$39+'[1]Balance Sheet'!$H$49)/100</f>
        <v>467.68592160585996</v>
      </c>
      <c r="H10" s="19">
        <f>(+'[1]Balance Sheet'!$G$29+'[1]Balance Sheet'!$G$31+'[1]Balance Sheet'!$G$39+'[1]Balance Sheet'!$G$49)/100</f>
        <v>467.36889999999994</v>
      </c>
      <c r="I10" s="19">
        <f>(+'[1]Balance Sheet'!$F$29+'[1]Balance Sheet'!$F$31+'[1]Balance Sheet'!$F$39+'[1]Balance Sheet'!$F$49)/100</f>
        <v>511.66329999999999</v>
      </c>
      <c r="J10" s="19">
        <f>(+'[1]Balance Sheet'!$E$29+'[1]Balance Sheet'!$E$31+'[1]Balance Sheet'!$E$39+'[1]Balance Sheet'!$E$49)/100</f>
        <v>1020.3649790980002</v>
      </c>
      <c r="K10" s="19">
        <f>(+'[2]Balance Sheet &amp; P&amp;L'!$E$29+'[2]Balance Sheet &amp; P&amp;L'!$E$31+'[2]Balance Sheet &amp; P&amp;L'!$E$39+'[2]Balance Sheet &amp; P&amp;L'!$E$49)/100</f>
        <v>1369.8123630488815</v>
      </c>
      <c r="L10" t="s">
        <v>33</v>
      </c>
    </row>
    <row r="11" spans="1:12" x14ac:dyDescent="0.25">
      <c r="A11" s="5" t="s">
        <v>16</v>
      </c>
      <c r="B11" s="8"/>
      <c r="C11" s="20"/>
      <c r="D11" s="20"/>
      <c r="E11" s="20"/>
      <c r="F11" s="20"/>
      <c r="G11" s="20"/>
      <c r="H11" s="19"/>
      <c r="I11" s="19"/>
      <c r="J11" s="19"/>
      <c r="K11" s="19"/>
    </row>
    <row r="12" spans="1:12" x14ac:dyDescent="0.25">
      <c r="A12" s="1" t="s">
        <v>17</v>
      </c>
      <c r="B12" s="8">
        <f>+B25</f>
        <v>4.2320756094314449</v>
      </c>
      <c r="C12" s="8">
        <f t="shared" ref="C12:K12" si="1">+C25</f>
        <v>5.3965759336313512</v>
      </c>
      <c r="D12" s="8">
        <f t="shared" si="1"/>
        <v>16.746827903309434</v>
      </c>
      <c r="E12" s="8">
        <f t="shared" si="1"/>
        <v>14.47659360212325</v>
      </c>
      <c r="F12" s="8">
        <f t="shared" si="1"/>
        <v>23.907376130833953</v>
      </c>
      <c r="G12" s="8">
        <f t="shared" si="1"/>
        <v>26.718283823425061</v>
      </c>
      <c r="H12" s="8">
        <f t="shared" si="1"/>
        <v>36.119620958286227</v>
      </c>
      <c r="I12" s="8">
        <f>+I25</f>
        <v>59.120685579744041</v>
      </c>
      <c r="J12" s="8">
        <f t="shared" si="1"/>
        <v>30.419455105556551</v>
      </c>
      <c r="K12" s="8">
        <f t="shared" si="1"/>
        <v>36.56007730008222</v>
      </c>
    </row>
    <row r="13" spans="1:12" x14ac:dyDescent="0.25">
      <c r="A13" s="1" t="s">
        <v>18</v>
      </c>
      <c r="B13" s="28">
        <f>+B30</f>
        <v>0.34509234961315721</v>
      </c>
      <c r="C13" s="28">
        <f t="shared" ref="C13:K13" si="2">+C30</f>
        <v>0.31740416895101137</v>
      </c>
      <c r="D13" s="28">
        <f t="shared" si="2"/>
        <v>0.29556801633394142</v>
      </c>
      <c r="E13" s="28">
        <f t="shared" si="2"/>
        <v>0.30970597845137093</v>
      </c>
      <c r="F13" s="28">
        <f t="shared" si="2"/>
        <v>0.3261156114129225</v>
      </c>
      <c r="G13" s="28">
        <f t="shared" si="2"/>
        <v>0.28710429594540327</v>
      </c>
      <c r="H13" s="28">
        <f t="shared" si="2"/>
        <v>0.30027182591160351</v>
      </c>
      <c r="I13" s="28">
        <f t="shared" si="2"/>
        <v>0.33671300596690645</v>
      </c>
      <c r="J13" s="28">
        <f t="shared" si="2"/>
        <v>0.30546990111876104</v>
      </c>
      <c r="K13" s="28">
        <f t="shared" si="2"/>
        <v>0.30786841448521418</v>
      </c>
    </row>
    <row r="14" spans="1:12" x14ac:dyDescent="0.25">
      <c r="A14" s="1" t="s">
        <v>19</v>
      </c>
      <c r="B14" s="24">
        <f>+B35</f>
        <v>1.1664109534960926E-5</v>
      </c>
      <c r="C14" s="24">
        <f t="shared" ref="C14:K14" si="3">+C35</f>
        <v>1.1099546711588525E-5</v>
      </c>
      <c r="D14" s="24">
        <f t="shared" si="3"/>
        <v>9.3954326554737011E-2</v>
      </c>
      <c r="E14" s="24">
        <f t="shared" si="3"/>
        <v>8.3298708536460889E-2</v>
      </c>
      <c r="F14" s="24">
        <f t="shared" si="3"/>
        <v>0.37199516978116692</v>
      </c>
      <c r="G14" s="24">
        <f t="shared" si="3"/>
        <v>0.22469518400630606</v>
      </c>
      <c r="H14" s="24">
        <f t="shared" si="3"/>
        <v>0.2940049866285967</v>
      </c>
      <c r="I14" s="24">
        <f t="shared" si="3"/>
        <v>0.13551623252741413</v>
      </c>
      <c r="J14" s="24">
        <f t="shared" si="3"/>
        <v>0.52986929551024553</v>
      </c>
      <c r="K14" s="24">
        <f t="shared" si="3"/>
        <v>0.42438943399788387</v>
      </c>
    </row>
    <row r="15" spans="1:12" ht="30" x14ac:dyDescent="0.25">
      <c r="A15" s="1" t="s">
        <v>20</v>
      </c>
      <c r="B15" s="18">
        <f>+B40</f>
        <v>0.14651924600486518</v>
      </c>
      <c r="C15" s="18">
        <f t="shared" ref="C15:K15" si="4">+C40</f>
        <v>0.14683171224829947</v>
      </c>
      <c r="D15" s="18">
        <f t="shared" si="4"/>
        <v>0.13782183336292864</v>
      </c>
      <c r="E15" s="18">
        <f t="shared" si="4"/>
        <v>0.22040946473340595</v>
      </c>
      <c r="F15" s="18">
        <f t="shared" si="4"/>
        <v>0.23462420958768126</v>
      </c>
      <c r="G15" s="18">
        <f t="shared" si="4"/>
        <v>0.25091804335184908</v>
      </c>
      <c r="H15" s="18">
        <f t="shared" si="4"/>
        <v>0.34571860842260471</v>
      </c>
      <c r="I15" s="18">
        <f t="shared" si="4"/>
        <v>0.40568355012604757</v>
      </c>
      <c r="J15" s="18">
        <f t="shared" si="4"/>
        <v>0.2256748526205441</v>
      </c>
      <c r="K15" s="18">
        <f t="shared" si="4"/>
        <v>0.2997589312369684</v>
      </c>
    </row>
    <row r="16" spans="1:12" hidden="1" x14ac:dyDescent="0.25">
      <c r="B16" s="15"/>
    </row>
    <row r="17" spans="1:12" hidden="1" x14ac:dyDescent="0.25">
      <c r="A17" s="14" t="s">
        <v>13</v>
      </c>
    </row>
    <row r="18" spans="1:12" hidden="1" x14ac:dyDescent="0.25">
      <c r="A18" s="12" t="s">
        <v>27</v>
      </c>
      <c r="B18" s="9">
        <f>+'[1]Balance Sheet'!$M$11/100</f>
        <v>23.2881</v>
      </c>
      <c r="C18" s="9">
        <f>+'[1]Balance Sheet'!$L$11/100</f>
        <v>23.2881</v>
      </c>
      <c r="D18" s="9">
        <f>+('[1]Balance Sheet'!$K$11+'[1]Balance Sheet'!$K$12)/100</f>
        <v>23.347300000000001</v>
      </c>
      <c r="E18" s="9">
        <f>+('[1]Balance Sheet'!$J$11+'[1]Balance Sheet'!$J$12)/100</f>
        <v>23.442000000000004</v>
      </c>
      <c r="F18" s="9">
        <f>+('[1]Balance Sheet'!$I$11+'[1]Balance Sheet'!$I$12)/100</f>
        <v>24.047899999999998</v>
      </c>
      <c r="G18" s="9">
        <f>(+'[1]Balance Sheet'!$H$11+'[1]Balance Sheet'!$H$12)/100</f>
        <v>23.971499999999995</v>
      </c>
      <c r="H18" s="9">
        <f>+'[1]Balance Sheet'!$G$11/100</f>
        <v>23.965700000000002</v>
      </c>
      <c r="I18" s="9">
        <f>+'[1]Balance Sheet'!$F$11/100</f>
        <v>21.575900000000001</v>
      </c>
      <c r="J18" s="9">
        <f>+'[1]Balance Sheet'!$E$11/100</f>
        <v>43.303800000000003</v>
      </c>
      <c r="K18" s="9">
        <f>+'[2]Balance Sheet &amp; P&amp;L'!$E$11/100</f>
        <v>43.409907730956796</v>
      </c>
    </row>
    <row r="19" spans="1:12" hidden="1" x14ac:dyDescent="0.25">
      <c r="A19" s="12" t="s">
        <v>30</v>
      </c>
      <c r="B19" s="9">
        <f>+'[1]Balance Sheet'!$M$13/100</f>
        <v>88.164900000000003</v>
      </c>
      <c r="C19" s="9">
        <f>+'[1]Balance Sheet'!$L$13/100</f>
        <v>93.833799999999997</v>
      </c>
      <c r="D19" s="9">
        <f>+'[1]Balance Sheet'!$K$13/100</f>
        <v>129.62596400000007</v>
      </c>
      <c r="E19" s="9">
        <f>+'[1]Balance Sheet'!$J$13/100</f>
        <v>157.78649999999999</v>
      </c>
      <c r="F19" s="9">
        <f>+'[1]Balance Sheet'!$I$13/100</f>
        <v>213.77104816549001</v>
      </c>
      <c r="G19" s="9">
        <f>+'[1]Balance Sheet'!$H$13/100</f>
        <v>260.23752869999987</v>
      </c>
      <c r="H19" s="9">
        <f>+'[1]Balance Sheet'!$G$13/100</f>
        <v>234.64590000000001</v>
      </c>
      <c r="I19" s="9">
        <f>+'[1]Balance Sheet'!$F$13/100</f>
        <v>308.12630000000001</v>
      </c>
      <c r="J19" s="9">
        <f>+'[1]Balance Sheet'!$E$13/100</f>
        <v>402.7061915252221</v>
      </c>
      <c r="K19" s="9">
        <f>+'[2]Balance Sheet &amp; P&amp;L'!$E$13/100</f>
        <v>532.06153532390908</v>
      </c>
    </row>
    <row r="20" spans="1:12" hidden="1" x14ac:dyDescent="0.25">
      <c r="A20" s="14" t="s">
        <v>13</v>
      </c>
      <c r="B20" s="16">
        <f>+B18+B19</f>
        <v>111.453</v>
      </c>
      <c r="C20" s="16">
        <f>SUM(C18:C19)</f>
        <v>117.1219</v>
      </c>
      <c r="D20" s="16">
        <f t="shared" ref="D20:J20" si="5">SUM(D18:D19)</f>
        <v>152.97326400000006</v>
      </c>
      <c r="E20" s="16">
        <f t="shared" si="5"/>
        <v>181.2285</v>
      </c>
      <c r="F20" s="16">
        <f t="shared" si="5"/>
        <v>237.81894816549001</v>
      </c>
      <c r="G20" s="16">
        <f t="shared" si="5"/>
        <v>284.20902869999986</v>
      </c>
      <c r="H20" s="16">
        <f t="shared" si="5"/>
        <v>258.61160000000001</v>
      </c>
      <c r="I20" s="16">
        <f t="shared" si="5"/>
        <v>329.7022</v>
      </c>
      <c r="J20" s="16">
        <f t="shared" si="5"/>
        <v>446.00999152522212</v>
      </c>
      <c r="K20" s="16">
        <f>SUM(K18:K19)</f>
        <v>575.47144305486586</v>
      </c>
    </row>
    <row r="21" spans="1:12" hidden="1" x14ac:dyDescent="0.25">
      <c r="A21" s="12"/>
    </row>
    <row r="22" spans="1:12" hidden="1" x14ac:dyDescent="0.25">
      <c r="A22" s="14" t="s">
        <v>17</v>
      </c>
    </row>
    <row r="23" spans="1:12" hidden="1" x14ac:dyDescent="0.25">
      <c r="A23" s="12" t="s">
        <v>28</v>
      </c>
      <c r="B23">
        <f>+'[1]Balance Sheet'!$M$99*100000</f>
        <v>98557000.000000432</v>
      </c>
      <c r="C23">
        <f>+'[1]Balance Sheet'!$L$99*100000</f>
        <v>125676000.00000027</v>
      </c>
      <c r="D23" s="11">
        <f>+'[1]Balance Sheet'!$K$99*100000</f>
        <v>390808999.99999994</v>
      </c>
      <c r="E23">
        <f>+'[1]Balance Sheet'!$J$99*100000</f>
        <v>339272000.0000003</v>
      </c>
      <c r="F23">
        <f>+'[1]Balance Sheet'!$I$99*100000</f>
        <v>571874000.00000048</v>
      </c>
      <c r="G23">
        <f>+'[1]Balance Sheet'!$H$99*100000</f>
        <v>640300999.99999917</v>
      </c>
      <c r="H23">
        <f>+'[1]Balance Sheet'!$G$99*100000</f>
        <v>865632000.00000036</v>
      </c>
      <c r="I23">
        <f>+'[1]Balance Sheet'!$F$99*100000</f>
        <v>1275581999.9999995</v>
      </c>
      <c r="J23">
        <f>+'[1]Balance Sheet'!$E$99*100000</f>
        <v>1317277999.9999998</v>
      </c>
      <c r="K23">
        <f>+'[2]Balance Sheet &amp; P&amp;L'!$E$99*100000</f>
        <v>1587069582.233217</v>
      </c>
    </row>
    <row r="24" spans="1:12" hidden="1" x14ac:dyDescent="0.25">
      <c r="A24" s="12" t="s">
        <v>29</v>
      </c>
      <c r="B24">
        <f>+'[1]Balance Sheet'!$M$11*100000/10</f>
        <v>23288100</v>
      </c>
      <c r="C24">
        <f>+'[1]Balance Sheet'!$L$11*100000/10</f>
        <v>23288100</v>
      </c>
      <c r="D24">
        <f>+'[1]Balance Sheet'!$K$11*100000/10</f>
        <v>23336300</v>
      </c>
      <c r="E24">
        <f>+'[1]Balance Sheet'!$J$11*100000/10</f>
        <v>23435900</v>
      </c>
      <c r="F24">
        <f>+'[1]Balance Sheet'!$I$11*100000/10</f>
        <v>23920400</v>
      </c>
      <c r="G24">
        <f>+'[1]Balance Sheet'!$H$11*100000/10</f>
        <v>23964899.999999996</v>
      </c>
      <c r="H24">
        <f>+'[1]Balance Sheet'!$G$11*100000/10</f>
        <v>23965700.000000004</v>
      </c>
      <c r="I24">
        <f>+'[1]Balance Sheet'!$F$11*100000/10</f>
        <v>21575900</v>
      </c>
      <c r="J24">
        <f>+'[1]Balance Sheet'!$E$11*100000/10</f>
        <v>43303800</v>
      </c>
      <c r="K24" s="22">
        <f>+'[2]Balance Sheet &amp; P&amp;L'!$E$11*100000/10</f>
        <v>43409907.730956793</v>
      </c>
    </row>
    <row r="25" spans="1:12" hidden="1" x14ac:dyDescent="0.25">
      <c r="A25" s="14" t="s">
        <v>17</v>
      </c>
      <c r="B25" s="16">
        <f>+B23/B24</f>
        <v>4.2320756094314449</v>
      </c>
      <c r="C25" s="16">
        <f>+C23/C24</f>
        <v>5.3965759336313512</v>
      </c>
      <c r="D25" s="16">
        <f t="shared" ref="D25:K25" si="6">+D23/D24</f>
        <v>16.746827903309434</v>
      </c>
      <c r="E25" s="16">
        <f t="shared" si="6"/>
        <v>14.47659360212325</v>
      </c>
      <c r="F25" s="16">
        <f t="shared" si="6"/>
        <v>23.907376130833953</v>
      </c>
      <c r="G25" s="16">
        <f t="shared" si="6"/>
        <v>26.718283823425061</v>
      </c>
      <c r="H25" s="16">
        <f t="shared" si="6"/>
        <v>36.119620958286227</v>
      </c>
      <c r="I25" s="16">
        <f t="shared" si="6"/>
        <v>59.120685579744041</v>
      </c>
      <c r="J25" s="16">
        <f t="shared" si="6"/>
        <v>30.419455105556551</v>
      </c>
      <c r="K25" s="16">
        <f t="shared" si="6"/>
        <v>36.56007730008222</v>
      </c>
    </row>
    <row r="26" spans="1:12" hidden="1" x14ac:dyDescent="0.25">
      <c r="A26" s="12"/>
      <c r="B26" s="9"/>
    </row>
    <row r="27" spans="1:12" hidden="1" x14ac:dyDescent="0.25">
      <c r="A27" s="14" t="s">
        <v>18</v>
      </c>
      <c r="B27" s="9"/>
    </row>
    <row r="28" spans="1:12" hidden="1" x14ac:dyDescent="0.25">
      <c r="A28" s="12" t="s">
        <v>31</v>
      </c>
      <c r="B28" s="9">
        <f>+('[1]Balance Sheet'!$M$62+'[1]Balance Sheet'!$M$63)/100</f>
        <v>228.43170000000001</v>
      </c>
      <c r="C28" s="9">
        <f>+('[1]Balance Sheet'!$L$62+'[1]Balance Sheet'!$L$63)/100</f>
        <v>267.07150000000001</v>
      </c>
      <c r="D28" s="9">
        <f>+('[1]Balance Sheet'!$K$62+'[1]Balance Sheet'!$K$63)/100</f>
        <v>344.88919999999996</v>
      </c>
      <c r="E28" s="9">
        <f>+('[1]Balance Sheet'!$J$62+'[1]Balance Sheet'!$J$63)/100</f>
        <v>428.78829999999999</v>
      </c>
      <c r="F28" s="9">
        <f>+'[1]Balance Sheet'!$I$62/100</f>
        <v>605.86060000000009</v>
      </c>
      <c r="G28" s="9">
        <f>(+'[1]Balance Sheet'!$H$62+'[1]Balance Sheet'!$H$63)/100</f>
        <v>782.93359999999996</v>
      </c>
      <c r="H28" s="9">
        <f>(+'[1]Balance Sheet'!$G$62+'[1]Balance Sheet'!$G$63)/100</f>
        <v>908.08119999999997</v>
      </c>
      <c r="I28" s="9">
        <f>+('[1]Balance Sheet'!$F$62+'[1]Balance Sheet'!$F$63)/100</f>
        <v>952.755</v>
      </c>
      <c r="J28" s="9">
        <f>(+'[1]Balance Sheet'!$E$62+'[1]Balance Sheet'!$E$63+'[1]Balance Sheet'!$E$64)/100</f>
        <v>1138.2947999999999</v>
      </c>
      <c r="K28" s="9">
        <f>(+'[2]Balance Sheet &amp; P&amp;L'!$E$62+'[2]Balance Sheet &amp; P&amp;L'!$E$63+'[2]Balance Sheet &amp; P&amp;L'!$E$64)/100</f>
        <v>1782.4789762807966</v>
      </c>
      <c r="L28" s="23" t="s">
        <v>35</v>
      </c>
    </row>
    <row r="29" spans="1:12" hidden="1" x14ac:dyDescent="0.25">
      <c r="A29" s="12" t="s">
        <v>32</v>
      </c>
      <c r="B29" s="9">
        <f>(+'[4]MIS - P&amp;L '!$I$18+'[4]MIS - P&amp;L '!$I$30)/100</f>
        <v>149.60166792087216</v>
      </c>
      <c r="C29" s="9">
        <f>(+'[5]MIS - P&amp;L '!$L$20+'[5]MIS - P&amp;L '!$L$34)/100</f>
        <v>182.30189249199998</v>
      </c>
      <c r="D29" s="9">
        <f>(+'[5]MIS - P&amp;L '!$I$20+'[5]MIS - P&amp;L '!$I$34)/100</f>
        <v>242.95098330099998</v>
      </c>
      <c r="E29" s="9">
        <f>(8433+7529+7008+6629)/100</f>
        <v>295.99</v>
      </c>
      <c r="F29" s="9">
        <f>(11823+10056+9789+9160)/100</f>
        <v>408.28</v>
      </c>
      <c r="G29" s="9">
        <f>(14210+14350+13730+13525)/100</f>
        <v>558.15</v>
      </c>
      <c r="H29" s="9">
        <f>(15507+16881+16443+14710)/100</f>
        <v>635.41</v>
      </c>
      <c r="I29" s="9">
        <f>(15441+15879+16356+15519)/100</f>
        <v>631.95000000000005</v>
      </c>
      <c r="J29" s="9">
        <f>(25859+18099+18392+16708)/100</f>
        <v>790.58</v>
      </c>
      <c r="K29" s="9">
        <f>(33745+33157+28354+28115)/100</f>
        <v>1233.71</v>
      </c>
      <c r="L29" s="23" t="s">
        <v>37</v>
      </c>
    </row>
    <row r="30" spans="1:12" hidden="1" x14ac:dyDescent="0.25">
      <c r="A30" s="14" t="s">
        <v>18</v>
      </c>
      <c r="B30" s="17">
        <f>+(B28-B29)/B28</f>
        <v>0.34509234961315721</v>
      </c>
      <c r="C30" s="17">
        <f>+(C28-C29)/C28</f>
        <v>0.31740416895101137</v>
      </c>
      <c r="D30" s="17">
        <f t="shared" ref="D30:K30" si="7">+(D28-D29)/D28</f>
        <v>0.29556801633394142</v>
      </c>
      <c r="E30" s="17">
        <f t="shared" si="7"/>
        <v>0.30970597845137093</v>
      </c>
      <c r="F30" s="17">
        <f t="shared" si="7"/>
        <v>0.3261156114129225</v>
      </c>
      <c r="G30" s="17">
        <f t="shared" si="7"/>
        <v>0.28710429594540327</v>
      </c>
      <c r="H30" s="17">
        <f t="shared" si="7"/>
        <v>0.30027182591160351</v>
      </c>
      <c r="I30" s="17">
        <f t="shared" si="7"/>
        <v>0.33671300596690645</v>
      </c>
      <c r="J30" s="17">
        <f t="shared" si="7"/>
        <v>0.30546990111876104</v>
      </c>
      <c r="K30" s="17">
        <f t="shared" si="7"/>
        <v>0.30786841448521418</v>
      </c>
      <c r="L30" s="23"/>
    </row>
    <row r="31" spans="1:12" hidden="1" x14ac:dyDescent="0.25">
      <c r="A31" s="12"/>
      <c r="B31" s="10"/>
    </row>
    <row r="32" spans="1:12" hidden="1" x14ac:dyDescent="0.25">
      <c r="A32" s="14" t="s">
        <v>19</v>
      </c>
      <c r="B32" s="10"/>
    </row>
    <row r="33" spans="1:11" hidden="1" x14ac:dyDescent="0.25">
      <c r="A33" s="12" t="s">
        <v>26</v>
      </c>
      <c r="B33" s="9">
        <f>+('[1]Balance Sheet'!$M$19+'[1]Balance Sheet'!$M$21)/100</f>
        <v>1.2999999999999999E-3</v>
      </c>
      <c r="C33" s="9">
        <f>+'[1]Balance Sheet'!$L$23/100</f>
        <v>1.2999999999999999E-3</v>
      </c>
      <c r="D33" s="9">
        <f>+'[1]Balance Sheet'!$K$23/100</f>
        <v>14.3725</v>
      </c>
      <c r="E33" s="9">
        <f>+'[1]Balance Sheet'!$J$23/100</f>
        <v>15.096100000000002</v>
      </c>
      <c r="F33" s="9">
        <f>+'[1]Balance Sheet'!$I$23/100</f>
        <v>88.467500000000001</v>
      </c>
      <c r="G33" s="9">
        <f>+'[1]Balance Sheet'!$H$23/100</f>
        <v>63.860399999999998</v>
      </c>
      <c r="H33" s="9">
        <f>+'[1]Balance Sheet'!$G$23/100</f>
        <v>76.033100000000005</v>
      </c>
      <c r="I33" s="9">
        <f>+'[1]Balance Sheet'!$F$23/100</f>
        <v>44.68</v>
      </c>
      <c r="J33" s="9">
        <f>+'[1]Balance Sheet'!$E$23/100</f>
        <v>236.327</v>
      </c>
      <c r="K33" s="9">
        <f>+'[2]Balance Sheet &amp; P&amp;L'!$E$23/100</f>
        <v>244.22399999999999</v>
      </c>
    </row>
    <row r="34" spans="1:11" hidden="1" x14ac:dyDescent="0.25">
      <c r="A34" s="12" t="s">
        <v>27</v>
      </c>
      <c r="B34" s="9">
        <f>+('[1]Balance Sheet'!$M$11+'[1]Balance Sheet'!$M$13)/100</f>
        <v>111.45299999999999</v>
      </c>
      <c r="C34" s="9">
        <f>+'[1]Balance Sheet'!$L$15/100</f>
        <v>117.12189999999998</v>
      </c>
      <c r="D34" s="9">
        <f>+'[1]Balance Sheet'!$K$15/100</f>
        <v>152.97326400000006</v>
      </c>
      <c r="E34" s="9">
        <f>+'[1]Balance Sheet'!$J$15/100</f>
        <v>181.2285</v>
      </c>
      <c r="F34" s="9">
        <f>+'[1]Balance Sheet'!$I$15/100</f>
        <v>237.81894816549004</v>
      </c>
      <c r="G34" s="9">
        <f>+'[1]Balance Sheet'!$H$15/100</f>
        <v>284.20902869999992</v>
      </c>
      <c r="H34" s="9">
        <f>+'[1]Balance Sheet'!$G$15/100</f>
        <v>258.61160000000001</v>
      </c>
      <c r="I34" s="9">
        <f>+'[1]Balance Sheet'!$F$15/100</f>
        <v>329.7022</v>
      </c>
      <c r="J34" s="9">
        <f>+'[1]Balance Sheet'!$E$15/100</f>
        <v>446.00999152522206</v>
      </c>
      <c r="K34" s="9">
        <f>+'[2]Balance Sheet &amp; P&amp;L'!$E$15/100</f>
        <v>575.47144305486586</v>
      </c>
    </row>
    <row r="35" spans="1:11" hidden="1" x14ac:dyDescent="0.25">
      <c r="A35" s="14" t="s">
        <v>19</v>
      </c>
      <c r="B35" s="21">
        <f>+B33/B34</f>
        <v>1.1664109534960926E-5</v>
      </c>
      <c r="C35" s="21">
        <f>+C33/C34</f>
        <v>1.1099546711588525E-5</v>
      </c>
      <c r="D35" s="21">
        <f t="shared" ref="D35" si="8">+D33/D34</f>
        <v>9.3954326554737011E-2</v>
      </c>
      <c r="E35" s="21">
        <f t="shared" ref="E35" si="9">+E33/E34</f>
        <v>8.3298708536460889E-2</v>
      </c>
      <c r="F35" s="21">
        <f t="shared" ref="F35" si="10">+F33/F34</f>
        <v>0.37199516978116692</v>
      </c>
      <c r="G35" s="21">
        <f t="shared" ref="G35" si="11">+G33/G34</f>
        <v>0.22469518400630606</v>
      </c>
      <c r="H35" s="21">
        <f t="shared" ref="H35" si="12">+H33/H34</f>
        <v>0.2940049866285967</v>
      </c>
      <c r="I35" s="21">
        <f t="shared" ref="I35" si="13">+I33/I34</f>
        <v>0.13551623252741413</v>
      </c>
      <c r="J35" s="21">
        <f t="shared" ref="J35" si="14">+J33/J34</f>
        <v>0.52986929551024553</v>
      </c>
      <c r="K35" s="21">
        <f t="shared" ref="K35" si="15">+K33/K34</f>
        <v>0.42438943399788387</v>
      </c>
    </row>
    <row r="36" spans="1:11" hidden="1" x14ac:dyDescent="0.25">
      <c r="A36" s="13"/>
    </row>
    <row r="37" spans="1:11" ht="30" hidden="1" x14ac:dyDescent="0.25">
      <c r="A37" s="14" t="s">
        <v>20</v>
      </c>
      <c r="C37" s="7"/>
    </row>
    <row r="38" spans="1:11" hidden="1" x14ac:dyDescent="0.25">
      <c r="A38" s="12" t="s">
        <v>34</v>
      </c>
      <c r="B38" s="9">
        <f>+B5</f>
        <v>16.330200000000044</v>
      </c>
      <c r="C38" s="9">
        <f>+C5</f>
        <v>17.197400000000027</v>
      </c>
      <c r="D38" s="9">
        <f>+D5</f>
        <v>23.06389999999999</v>
      </c>
      <c r="E38" s="9">
        <f t="shared" ref="E38:K38" si="16">+E5</f>
        <v>43.271800000000027</v>
      </c>
      <c r="F38" s="9">
        <f t="shared" si="16"/>
        <v>76.554700000000025</v>
      </c>
      <c r="G38" s="9">
        <f t="shared" si="16"/>
        <v>87.336899999999915</v>
      </c>
      <c r="H38" s="9">
        <f t="shared" si="16"/>
        <v>115.69290000000002</v>
      </c>
      <c r="I38" s="9">
        <f t="shared" si="16"/>
        <v>151.88069999999996</v>
      </c>
      <c r="J38" s="9">
        <f t="shared" si="16"/>
        <v>153.98629999999994</v>
      </c>
      <c r="K38" s="9">
        <f t="shared" si="16"/>
        <v>245.71102994993984</v>
      </c>
    </row>
    <row r="39" spans="1:11" hidden="1" x14ac:dyDescent="0.25">
      <c r="A39" s="12" t="s">
        <v>25</v>
      </c>
      <c r="B39" s="9">
        <f>+'[1]Balance Sheet'!$M$25/100</f>
        <v>111.45429999999999</v>
      </c>
      <c r="C39" s="9">
        <f>+'[1]Balance Sheet'!$L$25/100</f>
        <v>117.12319999999998</v>
      </c>
      <c r="D39" s="9">
        <f>+'[1]Balance Sheet'!$K$25/100</f>
        <v>167.34576400000006</v>
      </c>
      <c r="E39" s="9">
        <f>+'[1]Balance Sheet'!$J$25/100</f>
        <v>196.3246</v>
      </c>
      <c r="F39" s="9">
        <f>+'[1]Balance Sheet'!$I$25/100</f>
        <v>326.28644816549001</v>
      </c>
      <c r="G39" s="9">
        <f>+'[1]Balance Sheet'!$H$25/100</f>
        <v>348.06942869999989</v>
      </c>
      <c r="H39" s="9">
        <f>+'[1]Balance Sheet'!$G$25/100</f>
        <v>334.6447</v>
      </c>
      <c r="I39" s="9">
        <f>+'[1]Balance Sheet'!$F$25/100</f>
        <v>374.38220000000001</v>
      </c>
      <c r="J39" s="9">
        <f>+'[1]Balance Sheet'!$E$25/100</f>
        <v>682.33699152522206</v>
      </c>
      <c r="K39" s="9">
        <f>+'[2]Balance Sheet &amp; P&amp;L'!$E$25/100</f>
        <v>819.69544305486579</v>
      </c>
    </row>
    <row r="40" spans="1:11" ht="30" hidden="1" x14ac:dyDescent="0.25">
      <c r="A40" s="14" t="s">
        <v>20</v>
      </c>
      <c r="B40" s="17">
        <f>+B38/B39</f>
        <v>0.14651924600486518</v>
      </c>
      <c r="C40" s="17">
        <f>+C38/C39</f>
        <v>0.14683171224829947</v>
      </c>
      <c r="D40" s="17">
        <f t="shared" ref="D40:K40" si="17">+D38/D39</f>
        <v>0.13782183336292864</v>
      </c>
      <c r="E40" s="17">
        <f t="shared" si="17"/>
        <v>0.22040946473340595</v>
      </c>
      <c r="F40" s="17">
        <f t="shared" si="17"/>
        <v>0.23462420958768126</v>
      </c>
      <c r="G40" s="17">
        <f t="shared" si="17"/>
        <v>0.25091804335184908</v>
      </c>
      <c r="H40" s="17">
        <f t="shared" si="17"/>
        <v>0.34571860842260471</v>
      </c>
      <c r="I40" s="17">
        <f t="shared" si="17"/>
        <v>0.40568355012604757</v>
      </c>
      <c r="J40" s="17">
        <f t="shared" si="17"/>
        <v>0.2256748526205441</v>
      </c>
      <c r="K40" s="17">
        <f t="shared" si="17"/>
        <v>0.2997589312369684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N6" sqref="N6"/>
    </sheetView>
  </sheetViews>
  <sheetFormatPr defaultRowHeight="15" x14ac:dyDescent="0.25"/>
  <cols>
    <col min="1" max="1" width="26.140625" style="29" bestFit="1" customWidth="1"/>
    <col min="2" max="16384" width="9.140625" style="29"/>
  </cols>
  <sheetData>
    <row r="1" spans="1:11" ht="15.75" thickBot="1" x14ac:dyDescent="0.3">
      <c r="A1" s="64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25">
      <c r="A2" s="61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ht="15.75" thickBot="1" x14ac:dyDescent="0.3">
      <c r="A3" s="62"/>
      <c r="B3" s="66"/>
      <c r="C3" s="66"/>
      <c r="D3" s="66"/>
      <c r="E3" s="66"/>
      <c r="F3" s="66"/>
      <c r="G3" s="66"/>
      <c r="H3" s="66"/>
      <c r="I3" s="66"/>
      <c r="J3" s="66"/>
      <c r="K3" s="65"/>
    </row>
    <row r="4" spans="1:11" ht="15.75" thickBot="1" x14ac:dyDescent="0.3">
      <c r="A4" s="63"/>
      <c r="B4" s="46" t="s">
        <v>41</v>
      </c>
      <c r="C4" s="46" t="s">
        <v>40</v>
      </c>
      <c r="D4" s="46" t="s">
        <v>39</v>
      </c>
      <c r="E4" s="46" t="s">
        <v>38</v>
      </c>
      <c r="F4" s="46" t="s">
        <v>21</v>
      </c>
      <c r="G4" s="46" t="s">
        <v>22</v>
      </c>
      <c r="H4" s="46" t="s">
        <v>23</v>
      </c>
      <c r="I4" s="47" t="s">
        <v>24</v>
      </c>
      <c r="J4" s="49" t="s">
        <v>44</v>
      </c>
      <c r="K4" s="57" t="s">
        <v>45</v>
      </c>
    </row>
    <row r="5" spans="1:11" x14ac:dyDescent="0.25">
      <c r="A5" s="40" t="s">
        <v>8</v>
      </c>
      <c r="B5" s="44">
        <v>344.88919999999996</v>
      </c>
      <c r="C5" s="44">
        <v>428.78829999999999</v>
      </c>
      <c r="D5" s="44">
        <v>605.86060000000009</v>
      </c>
      <c r="E5" s="44">
        <v>782.93359999999996</v>
      </c>
      <c r="F5" s="44">
        <v>908.08119999999997</v>
      </c>
      <c r="G5" s="44">
        <v>952.755</v>
      </c>
      <c r="H5" s="44">
        <v>1138.2947999999999</v>
      </c>
      <c r="I5" s="45">
        <v>1782.4789762807966</v>
      </c>
      <c r="J5" s="50">
        <f>+'[6]MIS - P&amp;L '!$I$11/100</f>
        <v>2114.5257221217967</v>
      </c>
      <c r="K5" s="58">
        <f>'[7]Result Conso New Format'!$J$11/100</f>
        <v>2315.6</v>
      </c>
    </row>
    <row r="6" spans="1:11" x14ac:dyDescent="0.25">
      <c r="A6" s="41" t="s">
        <v>9</v>
      </c>
      <c r="B6" s="31">
        <v>349.53829999999999</v>
      </c>
      <c r="C6" s="31">
        <v>433.41830000000004</v>
      </c>
      <c r="D6" s="31">
        <v>614.83150000000001</v>
      </c>
      <c r="E6" s="31">
        <v>795.12249999999995</v>
      </c>
      <c r="F6" s="31">
        <v>922.16330000000005</v>
      </c>
      <c r="G6" s="31">
        <v>961.03190000000006</v>
      </c>
      <c r="H6" s="31">
        <v>983.26160000000004</v>
      </c>
      <c r="I6" s="35">
        <v>1824.2772745124123</v>
      </c>
      <c r="J6" s="37">
        <f>213222.82/100</f>
        <v>2132.2282</v>
      </c>
      <c r="K6" s="32">
        <f>'[7]Result Conso New Format'!$J$13/100</f>
        <v>2335.0100000000002</v>
      </c>
    </row>
    <row r="7" spans="1:11" x14ac:dyDescent="0.25">
      <c r="A7" s="41" t="s">
        <v>10</v>
      </c>
      <c r="B7" s="31">
        <v>23.06389999999999</v>
      </c>
      <c r="C7" s="31">
        <v>43.271800000000027</v>
      </c>
      <c r="D7" s="31">
        <v>76.554700000000025</v>
      </c>
      <c r="E7" s="31">
        <v>87.336899999999915</v>
      </c>
      <c r="F7" s="31">
        <v>115.69290000000002</v>
      </c>
      <c r="G7" s="31">
        <v>151.88069999999996</v>
      </c>
      <c r="H7" s="31">
        <v>153.98629999999994</v>
      </c>
      <c r="I7" s="35">
        <v>245.71102994993984</v>
      </c>
      <c r="J7" s="37">
        <f>(+'[6]MIS - P&amp;L '!$I$27+'[6]MIS - P&amp;L '!$I$24)/100</f>
        <v>270.55519135154759</v>
      </c>
      <c r="K7" s="32">
        <f>31985/100</f>
        <v>319.85000000000002</v>
      </c>
    </row>
    <row r="8" spans="1:11" x14ac:dyDescent="0.25">
      <c r="A8" s="41" t="s">
        <v>11</v>
      </c>
      <c r="B8" s="31">
        <v>22.164599999999993</v>
      </c>
      <c r="C8" s="31">
        <v>41.660500000000027</v>
      </c>
      <c r="D8" s="31">
        <v>74.454800000000034</v>
      </c>
      <c r="E8" s="31">
        <v>81.425999999999917</v>
      </c>
      <c r="F8" s="31">
        <v>111.81550000000003</v>
      </c>
      <c r="G8" s="31">
        <v>149.15229999999997</v>
      </c>
      <c r="H8" s="31">
        <v>150.12479999999996</v>
      </c>
      <c r="I8" s="35">
        <v>236.36649665832169</v>
      </c>
      <c r="J8" s="37">
        <f>(+'[6]MIS - P&amp;L '!$I$27)/100</f>
        <v>260.60959427917641</v>
      </c>
      <c r="K8" s="32">
        <f>33985/100</f>
        <v>339.85</v>
      </c>
    </row>
    <row r="9" spans="1:11" hidden="1" x14ac:dyDescent="0.25">
      <c r="A9" s="41" t="s">
        <v>28</v>
      </c>
      <c r="B9" s="31"/>
      <c r="C9" s="31">
        <v>34.020000000000003</v>
      </c>
      <c r="D9" s="31">
        <v>57.64</v>
      </c>
      <c r="E9" s="31">
        <v>64.5</v>
      </c>
      <c r="F9" s="31">
        <v>86.26</v>
      </c>
      <c r="G9" s="31">
        <v>127.26</v>
      </c>
      <c r="H9" s="31">
        <v>131.72999999999999</v>
      </c>
      <c r="I9" s="35">
        <v>158.71</v>
      </c>
      <c r="J9" s="37">
        <v>174.53</v>
      </c>
      <c r="K9" s="32">
        <v>237.52</v>
      </c>
    </row>
    <row r="10" spans="1:11" ht="30" x14ac:dyDescent="0.25">
      <c r="A10" s="42" t="s">
        <v>12</v>
      </c>
      <c r="B10" s="31">
        <v>19.541699999999992</v>
      </c>
      <c r="C10" s="31">
        <v>39.481900000000024</v>
      </c>
      <c r="D10" s="31">
        <v>73.797900000000041</v>
      </c>
      <c r="E10" s="31">
        <v>81.425999999999917</v>
      </c>
      <c r="F10" s="31">
        <v>111.81550000000003</v>
      </c>
      <c r="G10" s="31">
        <v>149.15229999999997</v>
      </c>
      <c r="H10" s="31">
        <v>150.12479999999996</v>
      </c>
      <c r="I10" s="35">
        <v>236.36649665832169</v>
      </c>
      <c r="J10" s="51">
        <f>+J8</f>
        <v>260.60959427917641</v>
      </c>
      <c r="K10" s="53">
        <f>33985/100</f>
        <v>339.85</v>
      </c>
    </row>
    <row r="11" spans="1:11" x14ac:dyDescent="0.25">
      <c r="A11" s="41" t="s">
        <v>13</v>
      </c>
      <c r="B11" s="31">
        <v>152.97326400000006</v>
      </c>
      <c r="C11" s="31">
        <v>181.2285</v>
      </c>
      <c r="D11" s="31">
        <v>237.81894816549001</v>
      </c>
      <c r="E11" s="31">
        <v>284.20902869999986</v>
      </c>
      <c r="F11" s="31">
        <v>258.61160000000001</v>
      </c>
      <c r="G11" s="31">
        <v>329.7022</v>
      </c>
      <c r="H11" s="31">
        <v>446.00999152522212</v>
      </c>
      <c r="I11" s="35">
        <v>575.47144305486586</v>
      </c>
      <c r="J11" s="37">
        <f>+'[6]Entity BS'!$AD$11+'[6]Entity BS'!$AD$12</f>
        <v>728.90037762457985</v>
      </c>
      <c r="K11" s="32">
        <f>'[7]Revised BS'!$M$13/100</f>
        <v>945.50227425607807</v>
      </c>
    </row>
    <row r="12" spans="1:11" x14ac:dyDescent="0.25">
      <c r="A12" s="41" t="s">
        <v>14</v>
      </c>
      <c r="B12" s="31">
        <v>88.8874</v>
      </c>
      <c r="C12" s="31">
        <v>88.297600000000003</v>
      </c>
      <c r="D12" s="31">
        <v>108.72239999999999</v>
      </c>
      <c r="E12" s="31">
        <v>123.72399999999999</v>
      </c>
      <c r="F12" s="31">
        <v>184.65520000000001</v>
      </c>
      <c r="G12" s="31">
        <v>212.7938</v>
      </c>
      <c r="H12" s="31">
        <v>547.99980000000005</v>
      </c>
      <c r="I12" s="35">
        <v>613.47803051743426</v>
      </c>
      <c r="J12" s="37">
        <f>+'[6]Entity BS'!$AD$23</f>
        <v>647.79630174734007</v>
      </c>
      <c r="K12" s="32">
        <f>+'[8]Entity BS'!$AF$23</f>
        <v>675.67863362821129</v>
      </c>
    </row>
    <row r="13" spans="1:11" x14ac:dyDescent="0.25">
      <c r="A13" s="41" t="s">
        <v>15</v>
      </c>
      <c r="B13" s="31">
        <v>228.73950000000002</v>
      </c>
      <c r="C13" s="31">
        <v>274.58529999999996</v>
      </c>
      <c r="D13" s="31">
        <v>441.94674816549008</v>
      </c>
      <c r="E13" s="31">
        <v>467.68592160585996</v>
      </c>
      <c r="F13" s="31">
        <v>467.36889999999994</v>
      </c>
      <c r="G13" s="31">
        <v>511.66329999999999</v>
      </c>
      <c r="H13" s="54">
        <v>982.47450000000003</v>
      </c>
      <c r="I13" s="55">
        <v>1208</v>
      </c>
      <c r="J13" s="56">
        <v>1257.2374</v>
      </c>
      <c r="K13" s="59">
        <f>'[7]Revised BS'!$M$70/100</f>
        <v>1485.9079394097434</v>
      </c>
    </row>
    <row r="14" spans="1:11" x14ac:dyDescent="0.25">
      <c r="A14" s="41" t="s">
        <v>16</v>
      </c>
      <c r="B14" s="30"/>
      <c r="C14" s="30"/>
      <c r="D14" s="30"/>
      <c r="E14" s="30"/>
      <c r="F14" s="30"/>
      <c r="G14" s="30"/>
      <c r="H14" s="30"/>
      <c r="I14" s="36"/>
      <c r="J14" s="37"/>
      <c r="K14" s="32"/>
    </row>
    <row r="15" spans="1:11" x14ac:dyDescent="0.25">
      <c r="A15" s="41" t="s">
        <v>17</v>
      </c>
      <c r="B15" s="32">
        <v>16.746827903309434</v>
      </c>
      <c r="C15" s="32">
        <v>14.47659360212325</v>
      </c>
      <c r="D15" s="32">
        <v>23.907376130833953</v>
      </c>
      <c r="E15" s="32">
        <v>26.718283823425061</v>
      </c>
      <c r="F15" s="32">
        <v>36.119620958286227</v>
      </c>
      <c r="G15" s="32">
        <v>59.120685579744041</v>
      </c>
      <c r="H15" s="32">
        <v>30.419455105556551</v>
      </c>
      <c r="I15" s="37">
        <v>36.56007730008222</v>
      </c>
      <c r="J15" s="37">
        <v>40.119999999999997</v>
      </c>
      <c r="K15" s="32">
        <f>'[7]Result Conso New Format'!$J$56</f>
        <v>54.4</v>
      </c>
    </row>
    <row r="16" spans="1:11" x14ac:dyDescent="0.25">
      <c r="A16" s="41" t="s">
        <v>18</v>
      </c>
      <c r="B16" s="33">
        <v>0.29556801633394142</v>
      </c>
      <c r="C16" s="33">
        <v>0.30970597845137093</v>
      </c>
      <c r="D16" s="33">
        <v>0.3261156114129225</v>
      </c>
      <c r="E16" s="33">
        <v>0.28710429594540327</v>
      </c>
      <c r="F16" s="33">
        <v>0.30027182591160351</v>
      </c>
      <c r="G16" s="33">
        <v>0.33671300596690645</v>
      </c>
      <c r="H16" s="33">
        <v>0.30546990111876104</v>
      </c>
      <c r="I16" s="38">
        <v>0.30786841448521418</v>
      </c>
      <c r="J16" s="38">
        <f>+'[6]MIS - P&amp;L '!$I$21/'[6]MIS - P&amp;L '!$I$11</f>
        <v>0.29965257052123989</v>
      </c>
      <c r="K16" s="33">
        <f>+'[8]MIS - P&amp;L '!$I$21/'[8]MIS - P&amp;L '!$I$11</f>
        <v>0.3108879710174326</v>
      </c>
    </row>
    <row r="17" spans="1:11" x14ac:dyDescent="0.25">
      <c r="A17" s="41" t="s">
        <v>19</v>
      </c>
      <c r="B17" s="32">
        <v>9.3954326554737011E-2</v>
      </c>
      <c r="C17" s="32">
        <v>8.3298708536460889E-2</v>
      </c>
      <c r="D17" s="32">
        <v>0.37199516978116692</v>
      </c>
      <c r="E17" s="32">
        <v>0.22469518400630606</v>
      </c>
      <c r="F17" s="32">
        <v>0.2940049866285967</v>
      </c>
      <c r="G17" s="32">
        <v>0.13551623252741413</v>
      </c>
      <c r="H17" s="32">
        <v>0.52986929551024553</v>
      </c>
      <c r="I17" s="37">
        <v>0.42438943399788387</v>
      </c>
      <c r="J17" s="37">
        <f>+'[6]Entity BS'!$AD$15/'[6]Entity BS'!$AD$13</f>
        <v>0.26813540780008133</v>
      </c>
      <c r="K17" s="32">
        <f>+'[8]Entity BS'!$AF$15/'[8]Entity BS'!$AF$13</f>
        <v>0.17451685510181167</v>
      </c>
    </row>
    <row r="18" spans="1:11" ht="15.75" thickBot="1" x14ac:dyDescent="0.3">
      <c r="A18" s="43" t="s">
        <v>20</v>
      </c>
      <c r="B18" s="34">
        <v>0.13782183336292864</v>
      </c>
      <c r="C18" s="34">
        <v>0.22040946473340595</v>
      </c>
      <c r="D18" s="34">
        <v>0.23462420958768126</v>
      </c>
      <c r="E18" s="34">
        <v>0.25091804335184908</v>
      </c>
      <c r="F18" s="34">
        <v>0.34571860842260471</v>
      </c>
      <c r="G18" s="34">
        <v>0.40568355012604757</v>
      </c>
      <c r="H18" s="34">
        <v>0.2256748526205441</v>
      </c>
      <c r="I18" s="39">
        <v>0.2997589312369684</v>
      </c>
      <c r="J18" s="52">
        <f>+'[6]Key Ratio'!$F$42</f>
        <v>0.29269955862860553</v>
      </c>
      <c r="K18" s="60">
        <f>+'[8]Key Ratio'!$F$42</f>
        <v>0.31492916703237622</v>
      </c>
    </row>
    <row r="20" spans="1:11" x14ac:dyDescent="0.25">
      <c r="J20" s="48"/>
    </row>
  </sheetData>
  <mergeCells count="4">
    <mergeCell ref="A2:A4"/>
    <mergeCell ref="B2:K2"/>
    <mergeCell ref="B3:K3"/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2015-06-18T11:59:41Z</dcterms:modified>
</cp:coreProperties>
</file>